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5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ownloads\"/>
    </mc:Choice>
  </mc:AlternateContent>
  <xr:revisionPtr revIDLastSave="0" documentId="13_ncr:1_{AA64AFC9-0576-486A-97C0-19F78507884C}" xr6:coauthVersionLast="47" xr6:coauthVersionMax="47" xr10:uidLastSave="{00000000-0000-0000-0000-000000000000}"/>
  <workbookProtection workbookAlgorithmName="SHA-512" workbookHashValue="TYFEUr4R4Xmm5F2QIy7/GZ0yNhA3GtPqp/CpHu+TaX19fSleeezQdrQUQ1C+wZabQnuJzCg7M0jiyCzJUJgpng==" workbookSaltValue="WAvD+AHhN5pLQ9Kcl44KQQ==" workbookSpinCount="100000" lockStructure="1"/>
  <bookViews>
    <workbookView xWindow="-120" yWindow="-120" windowWidth="20730" windowHeight="11040" activeTab="2" xr2:uid="{5D5269D1-9C77-4DCB-9A1C-DC4FFB7E9C07}"/>
  </bookViews>
  <sheets>
    <sheet name="Información general" sheetId="1" r:id="rId1"/>
    <sheet name="Toma de datos" sheetId="6" r:id="rId2"/>
    <sheet name="Informe" sheetId="9" r:id="rId3"/>
    <sheet name="Software" sheetId="10" r:id="rId4"/>
    <sheet name="Corrección" sheetId="5" state="hidden" r:id="rId5"/>
    <sheet name="Incertidumbre" sheetId="7" state="hidden" r:id="rId6"/>
    <sheet name="Equipamiento y listas" sheetId="2" state="hidden" r:id="rId7"/>
  </sheets>
  <definedNames>
    <definedName name="_xlnm.Print_Area" localSheetId="2">Informe!$B$8:$P$206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" i="1" l="1"/>
  <c r="L32" i="1"/>
  <c r="M38" i="1"/>
  <c r="L38" i="1"/>
  <c r="L36" i="1"/>
  <c r="L35" i="1"/>
  <c r="E46" i="1"/>
  <c r="E45" i="1"/>
  <c r="E40" i="1"/>
  <c r="E35" i="1"/>
  <c r="E34" i="1"/>
  <c r="E33" i="1"/>
  <c r="E32" i="1"/>
  <c r="F608" i="5" l="1"/>
  <c r="F607" i="5"/>
  <c r="F606" i="5"/>
  <c r="N603" i="5"/>
  <c r="N604" i="5"/>
  <c r="L61" i="2"/>
  <c r="K61" i="2"/>
  <c r="L60" i="2"/>
  <c r="K60" i="2"/>
  <c r="L59" i="2"/>
  <c r="K59" i="2"/>
  <c r="L58" i="2"/>
  <c r="K58" i="2"/>
  <c r="L57" i="2"/>
  <c r="K57" i="2"/>
  <c r="L56" i="2"/>
  <c r="K56" i="2"/>
  <c r="L55" i="2"/>
  <c r="K55" i="2"/>
  <c r="L54" i="2"/>
  <c r="K54" i="2"/>
  <c r="L53" i="2"/>
  <c r="K53" i="2"/>
  <c r="L52" i="2"/>
  <c r="K52" i="2"/>
  <c r="L51" i="2"/>
  <c r="K51" i="2"/>
  <c r="L50" i="2"/>
  <c r="K50" i="2"/>
  <c r="L49" i="2"/>
  <c r="K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D114" i="7" a="1"/>
  <c r="D127" i="7" s="1"/>
  <c r="CK73" i="7"/>
  <c r="CC73" i="7"/>
  <c r="BU73" i="7"/>
  <c r="BM73" i="7"/>
  <c r="BE73" i="7"/>
  <c r="AW73" i="7"/>
  <c r="AO73" i="7"/>
  <c r="AG73" i="7"/>
  <c r="Y73" i="7"/>
  <c r="Q73" i="7"/>
  <c r="CI72" i="7"/>
  <c r="CA72" i="7"/>
  <c r="BS72" i="7"/>
  <c r="BK72" i="7"/>
  <c r="BC72" i="7"/>
  <c r="AU72" i="7"/>
  <c r="AM72" i="7"/>
  <c r="AE72" i="7"/>
  <c r="W72" i="7"/>
  <c r="O72" i="7"/>
  <c r="J72" i="7"/>
  <c r="CI71" i="7"/>
  <c r="CA71" i="7"/>
  <c r="BS71" i="7"/>
  <c r="BK71" i="7"/>
  <c r="BC71" i="7"/>
  <c r="AU71" i="7"/>
  <c r="AM71" i="7"/>
  <c r="AE71" i="7"/>
  <c r="W71" i="7"/>
  <c r="O71" i="7"/>
  <c r="J71" i="7"/>
  <c r="CK68" i="7"/>
  <c r="CM68" i="7" s="1"/>
  <c r="CC68" i="7"/>
  <c r="CE68" i="7" s="1"/>
  <c r="BU68" i="7"/>
  <c r="BW68" i="7" s="1"/>
  <c r="BM68" i="7"/>
  <c r="BO68" i="7" s="1"/>
  <c r="BE68" i="7"/>
  <c r="BG68" i="7" s="1"/>
  <c r="AW68" i="7"/>
  <c r="AY68" i="7" s="1"/>
  <c r="AO68" i="7"/>
  <c r="AQ68" i="7" s="1"/>
  <c r="AI68" i="7"/>
  <c r="AG68" i="7"/>
  <c r="Y68" i="7"/>
  <c r="AA68" i="7" s="1"/>
  <c r="S68" i="7"/>
  <c r="Q68" i="7"/>
  <c r="CK66" i="7"/>
  <c r="CM66" i="7" s="1"/>
  <c r="CC66" i="7"/>
  <c r="CE66" i="7" s="1"/>
  <c r="BU66" i="7"/>
  <c r="BW66" i="7" s="1"/>
  <c r="BM66" i="7"/>
  <c r="BO66" i="7" s="1"/>
  <c r="BE66" i="7"/>
  <c r="BG66" i="7" s="1"/>
  <c r="AW66" i="7"/>
  <c r="AY66" i="7" s="1"/>
  <c r="AO66" i="7"/>
  <c r="AQ66" i="7" s="1"/>
  <c r="AG66" i="7"/>
  <c r="AI66" i="7" s="1"/>
  <c r="Y66" i="7"/>
  <c r="AA66" i="7" s="1"/>
  <c r="Q66" i="7"/>
  <c r="S66" i="7" s="1"/>
  <c r="J66" i="7"/>
  <c r="CK65" i="7"/>
  <c r="CM65" i="7" s="1"/>
  <c r="CC65" i="7"/>
  <c r="CE65" i="7" s="1"/>
  <c r="BU65" i="7"/>
  <c r="BW65" i="7" s="1"/>
  <c r="BM65" i="7"/>
  <c r="BO65" i="7" s="1"/>
  <c r="BE65" i="7"/>
  <c r="BG65" i="7" s="1"/>
  <c r="AW65" i="7"/>
  <c r="AY65" i="7" s="1"/>
  <c r="AO65" i="7"/>
  <c r="AQ65" i="7" s="1"/>
  <c r="AG65" i="7"/>
  <c r="AI65" i="7" s="1"/>
  <c r="Y65" i="7"/>
  <c r="AA65" i="7" s="1"/>
  <c r="Q65" i="7"/>
  <c r="S65" i="7" s="1"/>
  <c r="CK64" i="7"/>
  <c r="CM64" i="7" s="1"/>
  <c r="CC64" i="7"/>
  <c r="CE64" i="7" s="1"/>
  <c r="BU64" i="7"/>
  <c r="BW64" i="7" s="1"/>
  <c r="BM64" i="7"/>
  <c r="BO64" i="7" s="1"/>
  <c r="BE64" i="7"/>
  <c r="BG64" i="7" s="1"/>
  <c r="AW64" i="7"/>
  <c r="AY64" i="7" s="1"/>
  <c r="AO64" i="7"/>
  <c r="AQ64" i="7" s="1"/>
  <c r="AG64" i="7"/>
  <c r="AI64" i="7" s="1"/>
  <c r="Y64" i="7"/>
  <c r="AA64" i="7" s="1"/>
  <c r="Q64" i="7"/>
  <c r="S64" i="7" s="1"/>
  <c r="CK52" i="7"/>
  <c r="CC52" i="7"/>
  <c r="BU52" i="7"/>
  <c r="BM52" i="7"/>
  <c r="BE52" i="7"/>
  <c r="AW52" i="7"/>
  <c r="AO52" i="7"/>
  <c r="AG52" i="7"/>
  <c r="Y52" i="7"/>
  <c r="Q52" i="7"/>
  <c r="CK51" i="7"/>
  <c r="CC51" i="7"/>
  <c r="BU51" i="7"/>
  <c r="BM51" i="7"/>
  <c r="BE51" i="7"/>
  <c r="AW51" i="7"/>
  <c r="AO51" i="7"/>
  <c r="AG51" i="7"/>
  <c r="Y51" i="7"/>
  <c r="Q51" i="7"/>
  <c r="J51" i="7"/>
  <c r="CK49" i="7" a="1"/>
  <c r="CK49" i="7" s="1"/>
  <c r="CC49" i="7" a="1"/>
  <c r="CC49" i="7" s="1"/>
  <c r="BU49" i="7" a="1"/>
  <c r="BU49" i="7" s="1"/>
  <c r="BM49" i="7" a="1"/>
  <c r="BM49" i="7" s="1"/>
  <c r="BE49" i="7" a="1"/>
  <c r="BE49" i="7" s="1"/>
  <c r="AW49" i="7" a="1"/>
  <c r="AW49" i="7" s="1"/>
  <c r="AO49" i="7" a="1"/>
  <c r="AO49" i="7" s="1"/>
  <c r="AG49" i="7" a="1"/>
  <c r="AG49" i="7" s="1"/>
  <c r="Y49" i="7" a="1"/>
  <c r="Y49" i="7" s="1"/>
  <c r="Q49" i="7" a="1"/>
  <c r="Q49" i="7" s="1"/>
  <c r="CK38" i="7"/>
  <c r="CC38" i="7"/>
  <c r="BU38" i="7"/>
  <c r="BM38" i="7"/>
  <c r="BE38" i="7"/>
  <c r="AW38" i="7"/>
  <c r="AO38" i="7"/>
  <c r="AG38" i="7"/>
  <c r="Y38" i="7"/>
  <c r="Q38" i="7"/>
  <c r="CK37" i="7"/>
  <c r="CC37" i="7"/>
  <c r="BU37" i="7"/>
  <c r="BM37" i="7"/>
  <c r="BE37" i="7"/>
  <c r="AW37" i="7"/>
  <c r="AO37" i="7"/>
  <c r="AG37" i="7"/>
  <c r="Y37" i="7"/>
  <c r="Q37" i="7"/>
  <c r="J37" i="7"/>
  <c r="CK35" i="7" a="1"/>
  <c r="CK35" i="7" s="1"/>
  <c r="CC35" i="7" a="1"/>
  <c r="CC35" i="7" s="1"/>
  <c r="BU35" i="7" a="1"/>
  <c r="BU35" i="7" s="1"/>
  <c r="BM35" i="7" a="1"/>
  <c r="BM35" i="7" s="1"/>
  <c r="BE35" i="7" a="1"/>
  <c r="BE35" i="7" s="1"/>
  <c r="AW35" i="7" a="1"/>
  <c r="AW35" i="7" s="1"/>
  <c r="AO35" i="7" a="1"/>
  <c r="AO35" i="7" s="1"/>
  <c r="AG35" i="7" a="1"/>
  <c r="AG35" i="7" s="1"/>
  <c r="Y35" i="7" a="1"/>
  <c r="Y35" i="7" s="1"/>
  <c r="Q35" i="7" a="1"/>
  <c r="Q35" i="7" s="1"/>
  <c r="Q23" i="7"/>
  <c r="Q22" i="7"/>
  <c r="J22" i="7"/>
  <c r="Q20" i="7" a="1"/>
  <c r="Q20" i="7" s="1"/>
  <c r="Q19" i="7"/>
  <c r="J19" i="7"/>
  <c r="Q17" i="7" a="1"/>
  <c r="Q17" i="7" s="1"/>
  <c r="Q732" i="5"/>
  <c r="O732" i="5"/>
  <c r="M732" i="5"/>
  <c r="K732" i="5"/>
  <c r="I732" i="5"/>
  <c r="G732" i="5"/>
  <c r="E732" i="5"/>
  <c r="C732" i="5"/>
  <c r="R730" i="5"/>
  <c r="P730" i="5"/>
  <c r="N730" i="5"/>
  <c r="L730" i="5"/>
  <c r="J730" i="5"/>
  <c r="H730" i="5"/>
  <c r="F730" i="5"/>
  <c r="D730" i="5"/>
  <c r="G626" i="5"/>
  <c r="G627" i="5" s="1"/>
  <c r="G628" i="5" s="1"/>
  <c r="G629" i="5" s="1"/>
  <c r="G630" i="5" s="1"/>
  <c r="G631" i="5" s="1"/>
  <c r="G632" i="5" s="1"/>
  <c r="G633" i="5" s="1"/>
  <c r="G634" i="5" s="1"/>
  <c r="G635" i="5" s="1"/>
  <c r="G636" i="5" s="1"/>
  <c r="G637" i="5" s="1"/>
  <c r="G638" i="5" s="1"/>
  <c r="G639" i="5" s="1"/>
  <c r="G640" i="5" s="1"/>
  <c r="G641" i="5" s="1"/>
  <c r="G642" i="5" s="1"/>
  <c r="G643" i="5" s="1"/>
  <c r="G644" i="5" s="1"/>
  <c r="G645" i="5" s="1"/>
  <c r="G646" i="5" s="1"/>
  <c r="G647" i="5" s="1"/>
  <c r="G648" i="5" s="1"/>
  <c r="G649" i="5" s="1"/>
  <c r="G650" i="5" s="1"/>
  <c r="G651" i="5" s="1"/>
  <c r="G652" i="5" s="1"/>
  <c r="G653" i="5" s="1"/>
  <c r="G654" i="5" s="1"/>
  <c r="G655" i="5" s="1"/>
  <c r="G656" i="5" s="1"/>
  <c r="G657" i="5" s="1"/>
  <c r="G658" i="5" s="1"/>
  <c r="G659" i="5" s="1"/>
  <c r="G660" i="5" s="1"/>
  <c r="G661" i="5" s="1"/>
  <c r="G662" i="5" s="1"/>
  <c r="G663" i="5" s="1"/>
  <c r="G664" i="5" s="1"/>
  <c r="G665" i="5" s="1"/>
  <c r="G666" i="5" s="1"/>
  <c r="G667" i="5" s="1"/>
  <c r="G668" i="5" s="1"/>
  <c r="G669" i="5" s="1"/>
  <c r="G670" i="5" s="1"/>
  <c r="G671" i="5" s="1"/>
  <c r="G672" i="5" s="1"/>
  <c r="G673" i="5" s="1"/>
  <c r="G674" i="5" s="1"/>
  <c r="G675" i="5" s="1"/>
  <c r="G676" i="5" s="1"/>
  <c r="G677" i="5" s="1"/>
  <c r="G678" i="5" s="1"/>
  <c r="G679" i="5" s="1"/>
  <c r="G680" i="5" s="1"/>
  <c r="G681" i="5" s="1"/>
  <c r="G682" i="5" s="1"/>
  <c r="G683" i="5" s="1"/>
  <c r="G684" i="5" s="1"/>
  <c r="G685" i="5" s="1"/>
  <c r="G686" i="5" s="1"/>
  <c r="G687" i="5" s="1"/>
  <c r="G688" i="5" s="1"/>
  <c r="G689" i="5" s="1"/>
  <c r="G690" i="5" s="1"/>
  <c r="G691" i="5" s="1"/>
  <c r="G692" i="5" s="1"/>
  <c r="G693" i="5" s="1"/>
  <c r="G694" i="5" s="1"/>
  <c r="G695" i="5" s="1"/>
  <c r="G696" i="5" s="1"/>
  <c r="G697" i="5" s="1"/>
  <c r="G698" i="5" s="1"/>
  <c r="G699" i="5" s="1"/>
  <c r="G700" i="5" s="1"/>
  <c r="G701" i="5" s="1"/>
  <c r="G702" i="5" s="1"/>
  <c r="G703" i="5" s="1"/>
  <c r="G704" i="5" s="1"/>
  <c r="G705" i="5" s="1"/>
  <c r="G706" i="5" s="1"/>
  <c r="G707" i="5" s="1"/>
  <c r="G708" i="5" s="1"/>
  <c r="G709" i="5" s="1"/>
  <c r="G710" i="5" s="1"/>
  <c r="G711" i="5" s="1"/>
  <c r="G712" i="5" s="1"/>
  <c r="G713" i="5" s="1"/>
  <c r="G714" i="5" s="1"/>
  <c r="G715" i="5" s="1"/>
  <c r="G716" i="5" s="1"/>
  <c r="G717" i="5" s="1"/>
  <c r="G718" i="5" s="1"/>
  <c r="G719" i="5" s="1"/>
  <c r="G720" i="5" s="1"/>
  <c r="G721" i="5" s="1"/>
  <c r="G722" i="5" s="1"/>
  <c r="G723" i="5" s="1"/>
  <c r="G724" i="5" s="1"/>
  <c r="G725" i="5" s="1"/>
  <c r="G726" i="5" s="1"/>
  <c r="E626" i="5"/>
  <c r="C626" i="5"/>
  <c r="H624" i="5"/>
  <c r="F624" i="5"/>
  <c r="D624" i="5"/>
  <c r="C627" i="5" s="1"/>
  <c r="C628" i="5" s="1"/>
  <c r="C629" i="5" s="1"/>
  <c r="C630" i="5" s="1"/>
  <c r="C631" i="5" s="1"/>
  <c r="C632" i="5" s="1"/>
  <c r="C633" i="5" s="1"/>
  <c r="C634" i="5" s="1"/>
  <c r="C635" i="5" s="1"/>
  <c r="C636" i="5" s="1"/>
  <c r="C637" i="5" s="1"/>
  <c r="C638" i="5" s="1"/>
  <c r="C639" i="5" s="1"/>
  <c r="C640" i="5" s="1"/>
  <c r="C641" i="5" s="1"/>
  <c r="C642" i="5" s="1"/>
  <c r="C643" i="5" s="1"/>
  <c r="C644" i="5" s="1"/>
  <c r="C645" i="5" s="1"/>
  <c r="C646" i="5" s="1"/>
  <c r="C647" i="5" s="1"/>
  <c r="C648" i="5" s="1"/>
  <c r="C649" i="5" s="1"/>
  <c r="C650" i="5" s="1"/>
  <c r="C651" i="5" s="1"/>
  <c r="C652" i="5" s="1"/>
  <c r="C653" i="5" s="1"/>
  <c r="C654" i="5" s="1"/>
  <c r="C655" i="5" s="1"/>
  <c r="C656" i="5" s="1"/>
  <c r="C657" i="5" s="1"/>
  <c r="C658" i="5" s="1"/>
  <c r="C659" i="5" s="1"/>
  <c r="C660" i="5" s="1"/>
  <c r="C661" i="5" s="1"/>
  <c r="C662" i="5" s="1"/>
  <c r="C663" i="5" s="1"/>
  <c r="C664" i="5" s="1"/>
  <c r="C665" i="5" s="1"/>
  <c r="C666" i="5" s="1"/>
  <c r="C667" i="5" s="1"/>
  <c r="C668" i="5" s="1"/>
  <c r="C669" i="5" s="1"/>
  <c r="C670" i="5" s="1"/>
  <c r="C671" i="5" s="1"/>
  <c r="C672" i="5" s="1"/>
  <c r="C673" i="5" s="1"/>
  <c r="C674" i="5" s="1"/>
  <c r="C675" i="5" s="1"/>
  <c r="C676" i="5" s="1"/>
  <c r="C677" i="5" s="1"/>
  <c r="C678" i="5" s="1"/>
  <c r="C679" i="5" s="1"/>
  <c r="C680" i="5" s="1"/>
  <c r="C681" i="5" s="1"/>
  <c r="C682" i="5" s="1"/>
  <c r="C683" i="5" s="1"/>
  <c r="C684" i="5" s="1"/>
  <c r="C685" i="5" s="1"/>
  <c r="C686" i="5" s="1"/>
  <c r="C687" i="5" s="1"/>
  <c r="C688" i="5" s="1"/>
  <c r="C689" i="5" s="1"/>
  <c r="C690" i="5" s="1"/>
  <c r="C691" i="5" s="1"/>
  <c r="C692" i="5" s="1"/>
  <c r="C693" i="5" s="1"/>
  <c r="C694" i="5" s="1"/>
  <c r="C695" i="5" s="1"/>
  <c r="C696" i="5" s="1"/>
  <c r="C697" i="5" s="1"/>
  <c r="C698" i="5" s="1"/>
  <c r="C699" i="5" s="1"/>
  <c r="C700" i="5" s="1"/>
  <c r="C701" i="5" s="1"/>
  <c r="C702" i="5" s="1"/>
  <c r="C703" i="5" s="1"/>
  <c r="C704" i="5" s="1"/>
  <c r="C705" i="5" s="1"/>
  <c r="C706" i="5" s="1"/>
  <c r="C707" i="5" s="1"/>
  <c r="C708" i="5" s="1"/>
  <c r="C709" i="5" s="1"/>
  <c r="C710" i="5" s="1"/>
  <c r="C711" i="5" s="1"/>
  <c r="C712" i="5" s="1"/>
  <c r="C713" i="5" s="1"/>
  <c r="C714" i="5" s="1"/>
  <c r="C715" i="5" s="1"/>
  <c r="C716" i="5" s="1"/>
  <c r="C717" i="5" s="1"/>
  <c r="C718" i="5" s="1"/>
  <c r="C719" i="5" s="1"/>
  <c r="C720" i="5" s="1"/>
  <c r="C721" i="5" s="1"/>
  <c r="C722" i="5" s="1"/>
  <c r="C723" i="5" s="1"/>
  <c r="C724" i="5" s="1"/>
  <c r="C725" i="5" s="1"/>
  <c r="C726" i="5" s="1"/>
  <c r="C618" i="5"/>
  <c r="F618" i="5" s="1"/>
  <c r="G618" i="5" s="1"/>
  <c r="C617" i="5"/>
  <c r="F617" i="5" s="1"/>
  <c r="M608" i="5"/>
  <c r="M607" i="5"/>
  <c r="M606" i="5"/>
  <c r="N605" i="5"/>
  <c r="N602" i="5"/>
  <c r="N601" i="5"/>
  <c r="N600" i="5"/>
  <c r="N599" i="5"/>
  <c r="N598" i="5"/>
  <c r="N597" i="5"/>
  <c r="N596" i="5"/>
  <c r="N595" i="5"/>
  <c r="E589" i="5"/>
  <c r="L565" i="5"/>
  <c r="E565" i="5"/>
  <c r="L564" i="5"/>
  <c r="E564" i="5"/>
  <c r="M555" i="5"/>
  <c r="F555" i="5"/>
  <c r="M554" i="5"/>
  <c r="F554" i="5"/>
  <c r="M553" i="5"/>
  <c r="M565" i="5" s="1"/>
  <c r="N565" i="5" s="1"/>
  <c r="F553" i="5"/>
  <c r="F564" i="5" s="1"/>
  <c r="G564" i="5" s="1"/>
  <c r="L544" i="5"/>
  <c r="E544" i="5"/>
  <c r="L520" i="5"/>
  <c r="E520" i="5"/>
  <c r="L519" i="5"/>
  <c r="E519" i="5"/>
  <c r="M510" i="5"/>
  <c r="F510" i="5"/>
  <c r="M509" i="5"/>
  <c r="N506" i="5" s="1"/>
  <c r="F509" i="5"/>
  <c r="M508" i="5"/>
  <c r="F508" i="5"/>
  <c r="L499" i="5"/>
  <c r="E499" i="5"/>
  <c r="L475" i="5"/>
  <c r="E475" i="5"/>
  <c r="L474" i="5"/>
  <c r="E474" i="5"/>
  <c r="M465" i="5"/>
  <c r="F465" i="5"/>
  <c r="M464" i="5"/>
  <c r="F464" i="5"/>
  <c r="M463" i="5"/>
  <c r="F463" i="5"/>
  <c r="L454" i="5"/>
  <c r="E454" i="5"/>
  <c r="L430" i="5"/>
  <c r="E430" i="5"/>
  <c r="L429" i="5"/>
  <c r="E429" i="5"/>
  <c r="M420" i="5"/>
  <c r="F420" i="5"/>
  <c r="M419" i="5"/>
  <c r="F419" i="5"/>
  <c r="M418" i="5"/>
  <c r="F418" i="5"/>
  <c r="N417" i="5"/>
  <c r="G416" i="5"/>
  <c r="L408" i="5"/>
  <c r="E408" i="5"/>
  <c r="C401" i="5"/>
  <c r="F401" i="5" s="1"/>
  <c r="M392" i="5"/>
  <c r="F392" i="5"/>
  <c r="M391" i="5"/>
  <c r="F391" i="5"/>
  <c r="M390" i="5"/>
  <c r="F390" i="5"/>
  <c r="M389" i="5"/>
  <c r="F389" i="5"/>
  <c r="M388" i="5"/>
  <c r="F388" i="5"/>
  <c r="M387" i="5"/>
  <c r="F387" i="5"/>
  <c r="N386" i="5"/>
  <c r="N385" i="5"/>
  <c r="N384" i="5"/>
  <c r="E372" i="5"/>
  <c r="C365" i="5"/>
  <c r="F365" i="5" s="1"/>
  <c r="G365" i="5" s="1"/>
  <c r="M356" i="5"/>
  <c r="F356" i="5"/>
  <c r="M355" i="5"/>
  <c r="F355" i="5"/>
  <c r="G351" i="5" s="1"/>
  <c r="M354" i="5"/>
  <c r="F354" i="5"/>
  <c r="M353" i="5"/>
  <c r="F353" i="5"/>
  <c r="N352" i="5"/>
  <c r="N351" i="5"/>
  <c r="N350" i="5"/>
  <c r="E338" i="5"/>
  <c r="C331" i="5"/>
  <c r="F331" i="5" s="1"/>
  <c r="G331" i="5" s="1"/>
  <c r="M322" i="5"/>
  <c r="F322" i="5"/>
  <c r="F321" i="5"/>
  <c r="M320" i="5"/>
  <c r="F320" i="5"/>
  <c r="M319" i="5"/>
  <c r="F319" i="5"/>
  <c r="M318" i="5"/>
  <c r="F318" i="5"/>
  <c r="N317" i="5"/>
  <c r="G317" i="5"/>
  <c r="N316" i="5"/>
  <c r="G316" i="5"/>
  <c r="N315" i="5"/>
  <c r="N314" i="5"/>
  <c r="N313" i="5"/>
  <c r="N312" i="5"/>
  <c r="N311" i="5"/>
  <c r="N310" i="5"/>
  <c r="N309" i="5"/>
  <c r="E303" i="5"/>
  <c r="C296" i="5"/>
  <c r="F296" i="5" s="1"/>
  <c r="G296" i="5" s="1"/>
  <c r="C295" i="5"/>
  <c r="F295" i="5" s="1"/>
  <c r="G295" i="5" s="1"/>
  <c r="C294" i="5"/>
  <c r="F294" i="5" s="1"/>
  <c r="G294" i="5" s="1"/>
  <c r="C293" i="5"/>
  <c r="F293" i="5" s="1"/>
  <c r="G293" i="5" s="1"/>
  <c r="C292" i="5"/>
  <c r="F292" i="5" s="1"/>
  <c r="G292" i="5" s="1"/>
  <c r="C291" i="5"/>
  <c r="F291" i="5" s="1"/>
  <c r="G291" i="5" s="1"/>
  <c r="C290" i="5"/>
  <c r="F290" i="5" s="1"/>
  <c r="G290" i="5" s="1"/>
  <c r="C289" i="5"/>
  <c r="F289" i="5" s="1"/>
  <c r="G289" i="5" s="1"/>
  <c r="C288" i="5"/>
  <c r="F288" i="5" s="1"/>
  <c r="G288" i="5" s="1"/>
  <c r="C287" i="5"/>
  <c r="F287" i="5" s="1"/>
  <c r="G287" i="5" s="1"/>
  <c r="C286" i="5"/>
  <c r="F286" i="5" s="1"/>
  <c r="G286" i="5" s="1"/>
  <c r="C285" i="5"/>
  <c r="F285" i="5" s="1"/>
  <c r="G285" i="5" s="1"/>
  <c r="C284" i="5"/>
  <c r="F284" i="5" s="1"/>
  <c r="G284" i="5" s="1"/>
  <c r="F283" i="5"/>
  <c r="G283" i="5" s="1"/>
  <c r="C283" i="5"/>
  <c r="C282" i="5"/>
  <c r="F282" i="5" s="1"/>
  <c r="G282" i="5" s="1"/>
  <c r="C281" i="5"/>
  <c r="F281" i="5" s="1"/>
  <c r="G281" i="5" s="1"/>
  <c r="C280" i="5"/>
  <c r="F280" i="5" s="1"/>
  <c r="G280" i="5" s="1"/>
  <c r="C279" i="5"/>
  <c r="F279" i="5" s="1"/>
  <c r="G279" i="5" s="1"/>
  <c r="C278" i="5"/>
  <c r="F278" i="5" s="1"/>
  <c r="G278" i="5" s="1"/>
  <c r="C277" i="5"/>
  <c r="F277" i="5" s="1"/>
  <c r="G277" i="5" s="1"/>
  <c r="C276" i="5"/>
  <c r="F276" i="5" s="1"/>
  <c r="G276" i="5" s="1"/>
  <c r="C275" i="5"/>
  <c r="F275" i="5" s="1"/>
  <c r="G275" i="5" s="1"/>
  <c r="C274" i="5"/>
  <c r="F274" i="5" s="1"/>
  <c r="G274" i="5" s="1"/>
  <c r="C273" i="5"/>
  <c r="F273" i="5" s="1"/>
  <c r="G273" i="5" s="1"/>
  <c r="C272" i="5"/>
  <c r="F272" i="5" s="1"/>
  <c r="G272" i="5" s="1"/>
  <c r="C271" i="5"/>
  <c r="F271" i="5" s="1"/>
  <c r="G271" i="5" s="1"/>
  <c r="C270" i="5"/>
  <c r="F270" i="5" s="1"/>
  <c r="G270" i="5" s="1"/>
  <c r="C269" i="5"/>
  <c r="F269" i="5" s="1"/>
  <c r="G269" i="5" s="1"/>
  <c r="C268" i="5"/>
  <c r="F268" i="5" s="1"/>
  <c r="G268" i="5" s="1"/>
  <c r="C267" i="5"/>
  <c r="F267" i="5" s="1"/>
  <c r="G267" i="5" s="1"/>
  <c r="C266" i="5"/>
  <c r="F266" i="5" s="1"/>
  <c r="G266" i="5" s="1"/>
  <c r="C265" i="5"/>
  <c r="F265" i="5" s="1"/>
  <c r="G265" i="5" s="1"/>
  <c r="C264" i="5"/>
  <c r="F264" i="5" s="1"/>
  <c r="G264" i="5" s="1"/>
  <c r="C263" i="5"/>
  <c r="F263" i="5" s="1"/>
  <c r="G263" i="5" s="1"/>
  <c r="C262" i="5"/>
  <c r="F262" i="5" s="1"/>
  <c r="G262" i="5" s="1"/>
  <c r="C261" i="5"/>
  <c r="F261" i="5" s="1"/>
  <c r="G261" i="5" s="1"/>
  <c r="C260" i="5"/>
  <c r="F260" i="5" s="1"/>
  <c r="G260" i="5" s="1"/>
  <c r="C259" i="5"/>
  <c r="F259" i="5" s="1"/>
  <c r="G259" i="5" s="1"/>
  <c r="C258" i="5"/>
  <c r="F258" i="5" s="1"/>
  <c r="G258" i="5" s="1"/>
  <c r="C257" i="5"/>
  <c r="F257" i="5" s="1"/>
  <c r="G257" i="5" s="1"/>
  <c r="C256" i="5"/>
  <c r="F256" i="5" s="1"/>
  <c r="G256" i="5" s="1"/>
  <c r="C255" i="5"/>
  <c r="F255" i="5" s="1"/>
  <c r="G255" i="5" s="1"/>
  <c r="C254" i="5"/>
  <c r="F254" i="5" s="1"/>
  <c r="G254" i="5" s="1"/>
  <c r="C253" i="5"/>
  <c r="F253" i="5" s="1"/>
  <c r="G253" i="5" s="1"/>
  <c r="C252" i="5"/>
  <c r="F252" i="5" s="1"/>
  <c r="G252" i="5" s="1"/>
  <c r="C251" i="5"/>
  <c r="F251" i="5" s="1"/>
  <c r="G251" i="5" s="1"/>
  <c r="C250" i="5"/>
  <c r="F250" i="5" s="1"/>
  <c r="G250" i="5" s="1"/>
  <c r="F249" i="5"/>
  <c r="G249" i="5" s="1"/>
  <c r="C249" i="5"/>
  <c r="C248" i="5"/>
  <c r="F248" i="5" s="1"/>
  <c r="G248" i="5" s="1"/>
  <c r="C247" i="5"/>
  <c r="F247" i="5" s="1"/>
  <c r="G247" i="5" s="1"/>
  <c r="C246" i="5"/>
  <c r="F246" i="5" s="1"/>
  <c r="G246" i="5" s="1"/>
  <c r="C245" i="5"/>
  <c r="F245" i="5" s="1"/>
  <c r="G245" i="5" s="1"/>
  <c r="C244" i="5"/>
  <c r="F244" i="5" s="1"/>
  <c r="G244" i="5" s="1"/>
  <c r="F243" i="5"/>
  <c r="G243" i="5" s="1"/>
  <c r="C243" i="5"/>
  <c r="C242" i="5"/>
  <c r="F242" i="5" s="1"/>
  <c r="G242" i="5" s="1"/>
  <c r="C241" i="5"/>
  <c r="F241" i="5" s="1"/>
  <c r="G241" i="5" s="1"/>
  <c r="C240" i="5"/>
  <c r="F240" i="5" s="1"/>
  <c r="G240" i="5" s="1"/>
  <c r="C239" i="5"/>
  <c r="F239" i="5" s="1"/>
  <c r="G239" i="5" s="1"/>
  <c r="C238" i="5"/>
  <c r="F238" i="5" s="1"/>
  <c r="G238" i="5" s="1"/>
  <c r="C237" i="5"/>
  <c r="F237" i="5" s="1"/>
  <c r="G237" i="5" s="1"/>
  <c r="M228" i="5"/>
  <c r="F228" i="5"/>
  <c r="M227" i="5"/>
  <c r="F227" i="5"/>
  <c r="M226" i="5"/>
  <c r="F226" i="5"/>
  <c r="M225" i="5"/>
  <c r="F225" i="5"/>
  <c r="M224" i="5"/>
  <c r="F224" i="5"/>
  <c r="E207" i="5"/>
  <c r="C200" i="5"/>
  <c r="F200" i="5" s="1"/>
  <c r="G200" i="5" s="1"/>
  <c r="C199" i="5"/>
  <c r="F199" i="5" s="1"/>
  <c r="G199" i="5" s="1"/>
  <c r="F198" i="5"/>
  <c r="G198" i="5" s="1"/>
  <c r="C198" i="5"/>
  <c r="C197" i="5"/>
  <c r="F197" i="5" s="1"/>
  <c r="G197" i="5" s="1"/>
  <c r="C196" i="5"/>
  <c r="F196" i="5" s="1"/>
  <c r="G196" i="5" s="1"/>
  <c r="C195" i="5"/>
  <c r="F195" i="5" s="1"/>
  <c r="G195" i="5" s="1"/>
  <c r="C194" i="5"/>
  <c r="F194" i="5" s="1"/>
  <c r="G194" i="5" s="1"/>
  <c r="C193" i="5"/>
  <c r="F193" i="5" s="1"/>
  <c r="G193" i="5" s="1"/>
  <c r="C192" i="5"/>
  <c r="F192" i="5" s="1"/>
  <c r="G192" i="5" s="1"/>
  <c r="C191" i="5"/>
  <c r="F191" i="5" s="1"/>
  <c r="G191" i="5" s="1"/>
  <c r="C190" i="5"/>
  <c r="F190" i="5" s="1"/>
  <c r="G190" i="5" s="1"/>
  <c r="C189" i="5"/>
  <c r="F189" i="5" s="1"/>
  <c r="G189" i="5" s="1"/>
  <c r="C188" i="5"/>
  <c r="F188" i="5" s="1"/>
  <c r="G188" i="5" s="1"/>
  <c r="C187" i="5"/>
  <c r="F187" i="5" s="1"/>
  <c r="G187" i="5" s="1"/>
  <c r="C186" i="5"/>
  <c r="F186" i="5" s="1"/>
  <c r="G186" i="5" s="1"/>
  <c r="C185" i="5"/>
  <c r="F185" i="5" s="1"/>
  <c r="G185" i="5" s="1"/>
  <c r="C184" i="5"/>
  <c r="F184" i="5" s="1"/>
  <c r="G184" i="5" s="1"/>
  <c r="C183" i="5"/>
  <c r="F183" i="5" s="1"/>
  <c r="G183" i="5" s="1"/>
  <c r="C182" i="5"/>
  <c r="F182" i="5" s="1"/>
  <c r="G182" i="5" s="1"/>
  <c r="C181" i="5"/>
  <c r="F181" i="5" s="1"/>
  <c r="G181" i="5" s="1"/>
  <c r="C180" i="5"/>
  <c r="F180" i="5" s="1"/>
  <c r="G180" i="5" s="1"/>
  <c r="F179" i="5"/>
  <c r="G179" i="5" s="1"/>
  <c r="C179" i="5"/>
  <c r="C178" i="5"/>
  <c r="F178" i="5" s="1"/>
  <c r="G178" i="5" s="1"/>
  <c r="C177" i="5"/>
  <c r="F177" i="5" s="1"/>
  <c r="G177" i="5" s="1"/>
  <c r="C176" i="5"/>
  <c r="F176" i="5" s="1"/>
  <c r="G176" i="5" s="1"/>
  <c r="C175" i="5"/>
  <c r="F175" i="5" s="1"/>
  <c r="G175" i="5" s="1"/>
  <c r="C174" i="5"/>
  <c r="F174" i="5" s="1"/>
  <c r="G174" i="5" s="1"/>
  <c r="C173" i="5"/>
  <c r="F173" i="5" s="1"/>
  <c r="G173" i="5" s="1"/>
  <c r="F172" i="5"/>
  <c r="G172" i="5" s="1"/>
  <c r="C172" i="5"/>
  <c r="C171" i="5"/>
  <c r="F171" i="5" s="1"/>
  <c r="G171" i="5" s="1"/>
  <c r="C170" i="5"/>
  <c r="F170" i="5" s="1"/>
  <c r="G170" i="5" s="1"/>
  <c r="C169" i="5"/>
  <c r="F169" i="5" s="1"/>
  <c r="G169" i="5" s="1"/>
  <c r="C168" i="5"/>
  <c r="F168" i="5" s="1"/>
  <c r="G168" i="5" s="1"/>
  <c r="C167" i="5"/>
  <c r="F167" i="5" s="1"/>
  <c r="G167" i="5" s="1"/>
  <c r="F166" i="5"/>
  <c r="G166" i="5" s="1"/>
  <c r="C166" i="5"/>
  <c r="C165" i="5"/>
  <c r="F165" i="5" s="1"/>
  <c r="G165" i="5" s="1"/>
  <c r="C164" i="5"/>
  <c r="F164" i="5" s="1"/>
  <c r="G164" i="5" s="1"/>
  <c r="C163" i="5"/>
  <c r="F163" i="5" s="1"/>
  <c r="G163" i="5" s="1"/>
  <c r="C162" i="5"/>
  <c r="F162" i="5" s="1"/>
  <c r="G162" i="5" s="1"/>
  <c r="C161" i="5"/>
  <c r="F161" i="5" s="1"/>
  <c r="G161" i="5" s="1"/>
  <c r="C160" i="5"/>
  <c r="F160" i="5" s="1"/>
  <c r="G160" i="5" s="1"/>
  <c r="C159" i="5"/>
  <c r="F159" i="5" s="1"/>
  <c r="G159" i="5" s="1"/>
  <c r="C158" i="5"/>
  <c r="F158" i="5" s="1"/>
  <c r="G158" i="5" s="1"/>
  <c r="C157" i="5"/>
  <c r="F157" i="5" s="1"/>
  <c r="G157" i="5" s="1"/>
  <c r="C156" i="5"/>
  <c r="F156" i="5" s="1"/>
  <c r="G156" i="5" s="1"/>
  <c r="C155" i="5"/>
  <c r="F155" i="5" s="1"/>
  <c r="G155" i="5" s="1"/>
  <c r="C154" i="5"/>
  <c r="F154" i="5" s="1"/>
  <c r="G154" i="5" s="1"/>
  <c r="C153" i="5"/>
  <c r="F153" i="5" s="1"/>
  <c r="G153" i="5" s="1"/>
  <c r="C152" i="5"/>
  <c r="F152" i="5" s="1"/>
  <c r="G152" i="5" s="1"/>
  <c r="C151" i="5"/>
  <c r="F151" i="5" s="1"/>
  <c r="G151" i="5" s="1"/>
  <c r="C150" i="5"/>
  <c r="F150" i="5" s="1"/>
  <c r="G150" i="5" s="1"/>
  <c r="C149" i="5"/>
  <c r="F149" i="5" s="1"/>
  <c r="G149" i="5" s="1"/>
  <c r="C148" i="5"/>
  <c r="F148" i="5" s="1"/>
  <c r="G148" i="5" s="1"/>
  <c r="F147" i="5"/>
  <c r="G147" i="5" s="1"/>
  <c r="C147" i="5"/>
  <c r="C146" i="5"/>
  <c r="F146" i="5" s="1"/>
  <c r="G146" i="5" s="1"/>
  <c r="C145" i="5"/>
  <c r="F145" i="5" s="1"/>
  <c r="G145" i="5" s="1"/>
  <c r="C144" i="5"/>
  <c r="F144" i="5" s="1"/>
  <c r="G144" i="5" s="1"/>
  <c r="C143" i="5"/>
  <c r="F143" i="5" s="1"/>
  <c r="G143" i="5" s="1"/>
  <c r="C142" i="5"/>
  <c r="F142" i="5" s="1"/>
  <c r="G142" i="5" s="1"/>
  <c r="C141" i="5"/>
  <c r="F141" i="5" s="1"/>
  <c r="G141" i="5" s="1"/>
  <c r="M132" i="5"/>
  <c r="F132" i="5"/>
  <c r="M131" i="5"/>
  <c r="F131" i="5"/>
  <c r="M130" i="5"/>
  <c r="F130" i="5"/>
  <c r="M129" i="5"/>
  <c r="F129" i="5"/>
  <c r="M128" i="5"/>
  <c r="F128" i="5"/>
  <c r="E111" i="5"/>
  <c r="C104" i="5"/>
  <c r="F104" i="5" s="1"/>
  <c r="G104" i="5" s="1"/>
  <c r="C103" i="5"/>
  <c r="F103" i="5" s="1"/>
  <c r="G103" i="5" s="1"/>
  <c r="C102" i="5"/>
  <c r="F102" i="5" s="1"/>
  <c r="G102" i="5" s="1"/>
  <c r="C101" i="5"/>
  <c r="F101" i="5" s="1"/>
  <c r="G101" i="5" s="1"/>
  <c r="C100" i="5"/>
  <c r="F100" i="5" s="1"/>
  <c r="G100" i="5" s="1"/>
  <c r="C99" i="5"/>
  <c r="F99" i="5" s="1"/>
  <c r="G99" i="5" s="1"/>
  <c r="C98" i="5"/>
  <c r="F98" i="5" s="1"/>
  <c r="G98" i="5" s="1"/>
  <c r="C97" i="5"/>
  <c r="F97" i="5" s="1"/>
  <c r="G97" i="5" s="1"/>
  <c r="C96" i="5"/>
  <c r="F96" i="5" s="1"/>
  <c r="G96" i="5" s="1"/>
  <c r="C95" i="5"/>
  <c r="F95" i="5" s="1"/>
  <c r="G95" i="5" s="1"/>
  <c r="C94" i="5"/>
  <c r="F94" i="5" s="1"/>
  <c r="G94" i="5" s="1"/>
  <c r="C93" i="5"/>
  <c r="F93" i="5" s="1"/>
  <c r="G93" i="5" s="1"/>
  <c r="C92" i="5"/>
  <c r="F92" i="5" s="1"/>
  <c r="G92" i="5" s="1"/>
  <c r="C91" i="5"/>
  <c r="F91" i="5" s="1"/>
  <c r="G91" i="5" s="1"/>
  <c r="C90" i="5"/>
  <c r="F90" i="5" s="1"/>
  <c r="G90" i="5" s="1"/>
  <c r="C89" i="5"/>
  <c r="F89" i="5" s="1"/>
  <c r="G89" i="5" s="1"/>
  <c r="F88" i="5"/>
  <c r="G88" i="5" s="1"/>
  <c r="C88" i="5"/>
  <c r="C87" i="5"/>
  <c r="F87" i="5" s="1"/>
  <c r="G87" i="5" s="1"/>
  <c r="C86" i="5"/>
  <c r="F86" i="5" s="1"/>
  <c r="G86" i="5" s="1"/>
  <c r="C85" i="5"/>
  <c r="F85" i="5" s="1"/>
  <c r="G85" i="5" s="1"/>
  <c r="C84" i="5"/>
  <c r="F84" i="5" s="1"/>
  <c r="G84" i="5" s="1"/>
  <c r="C83" i="5"/>
  <c r="F83" i="5" s="1"/>
  <c r="G83" i="5" s="1"/>
  <c r="C82" i="5"/>
  <c r="F82" i="5" s="1"/>
  <c r="G82" i="5" s="1"/>
  <c r="F81" i="5"/>
  <c r="G81" i="5" s="1"/>
  <c r="C81" i="5"/>
  <c r="C80" i="5"/>
  <c r="F80" i="5" s="1"/>
  <c r="G80" i="5" s="1"/>
  <c r="C79" i="5"/>
  <c r="F79" i="5" s="1"/>
  <c r="G79" i="5" s="1"/>
  <c r="C78" i="5"/>
  <c r="F78" i="5" s="1"/>
  <c r="G78" i="5" s="1"/>
  <c r="C77" i="5"/>
  <c r="F77" i="5" s="1"/>
  <c r="G77" i="5" s="1"/>
  <c r="C76" i="5"/>
  <c r="F76" i="5" s="1"/>
  <c r="G76" i="5" s="1"/>
  <c r="C75" i="5"/>
  <c r="F75" i="5" s="1"/>
  <c r="G75" i="5" s="1"/>
  <c r="C74" i="5"/>
  <c r="F74" i="5" s="1"/>
  <c r="G74" i="5" s="1"/>
  <c r="C73" i="5"/>
  <c r="F73" i="5" s="1"/>
  <c r="G73" i="5" s="1"/>
  <c r="C72" i="5"/>
  <c r="F72" i="5" s="1"/>
  <c r="G72" i="5" s="1"/>
  <c r="C71" i="5"/>
  <c r="F71" i="5" s="1"/>
  <c r="G71" i="5" s="1"/>
  <c r="C70" i="5"/>
  <c r="F70" i="5" s="1"/>
  <c r="G70" i="5" s="1"/>
  <c r="C69" i="5"/>
  <c r="F69" i="5" s="1"/>
  <c r="G69" i="5" s="1"/>
  <c r="C68" i="5"/>
  <c r="F68" i="5" s="1"/>
  <c r="G68" i="5" s="1"/>
  <c r="C67" i="5"/>
  <c r="F67" i="5" s="1"/>
  <c r="G67" i="5" s="1"/>
  <c r="C66" i="5"/>
  <c r="F66" i="5" s="1"/>
  <c r="G66" i="5" s="1"/>
  <c r="F65" i="5"/>
  <c r="G65" i="5" s="1"/>
  <c r="C65" i="5"/>
  <c r="C64" i="5"/>
  <c r="F64" i="5" s="1"/>
  <c r="G64" i="5" s="1"/>
  <c r="C63" i="5"/>
  <c r="F63" i="5" s="1"/>
  <c r="G63" i="5" s="1"/>
  <c r="C62" i="5"/>
  <c r="F62" i="5" s="1"/>
  <c r="G62" i="5" s="1"/>
  <c r="C61" i="5"/>
  <c r="F61" i="5" s="1"/>
  <c r="G61" i="5" s="1"/>
  <c r="C60" i="5"/>
  <c r="F60" i="5" s="1"/>
  <c r="G60" i="5" s="1"/>
  <c r="C59" i="5"/>
  <c r="F59" i="5" s="1"/>
  <c r="G59" i="5" s="1"/>
  <c r="C58" i="5"/>
  <c r="F58" i="5" s="1"/>
  <c r="G58" i="5" s="1"/>
  <c r="C57" i="5"/>
  <c r="F57" i="5" s="1"/>
  <c r="G57" i="5" s="1"/>
  <c r="C56" i="5"/>
  <c r="F56" i="5" s="1"/>
  <c r="G56" i="5" s="1"/>
  <c r="C55" i="5"/>
  <c r="F55" i="5" s="1"/>
  <c r="G55" i="5" s="1"/>
  <c r="C54" i="5"/>
  <c r="F54" i="5" s="1"/>
  <c r="G54" i="5" s="1"/>
  <c r="C53" i="5"/>
  <c r="F53" i="5" s="1"/>
  <c r="G53" i="5" s="1"/>
  <c r="C52" i="5"/>
  <c r="F52" i="5" s="1"/>
  <c r="G52" i="5" s="1"/>
  <c r="F51" i="5"/>
  <c r="G51" i="5" s="1"/>
  <c r="C51" i="5"/>
  <c r="C50" i="5"/>
  <c r="F50" i="5" s="1"/>
  <c r="G50" i="5" s="1"/>
  <c r="C49" i="5"/>
  <c r="F49" i="5" s="1"/>
  <c r="G49" i="5" s="1"/>
  <c r="C48" i="5"/>
  <c r="F48" i="5" s="1"/>
  <c r="G48" i="5" s="1"/>
  <c r="C47" i="5"/>
  <c r="F47" i="5" s="1"/>
  <c r="G47" i="5" s="1"/>
  <c r="C46" i="5"/>
  <c r="F46" i="5" s="1"/>
  <c r="G46" i="5" s="1"/>
  <c r="F45" i="5"/>
  <c r="G45" i="5" s="1"/>
  <c r="C45" i="5"/>
  <c r="M36" i="5"/>
  <c r="F36" i="5"/>
  <c r="M35" i="5"/>
  <c r="F35" i="5"/>
  <c r="M34" i="5"/>
  <c r="F34" i="5"/>
  <c r="N24" i="5" s="1"/>
  <c r="M33" i="5"/>
  <c r="F33" i="5"/>
  <c r="M32" i="5"/>
  <c r="F32" i="5"/>
  <c r="G31" i="5"/>
  <c r="G30" i="5"/>
  <c r="G23" i="5"/>
  <c r="N22" i="5"/>
  <c r="E13" i="5"/>
  <c r="H211" i="9"/>
  <c r="F211" i="9"/>
  <c r="C211" i="9"/>
  <c r="H210" i="9"/>
  <c r="F210" i="9"/>
  <c r="C210" i="9"/>
  <c r="H209" i="9"/>
  <c r="F209" i="9"/>
  <c r="C209" i="9"/>
  <c r="H203" i="9"/>
  <c r="F200" i="9"/>
  <c r="F198" i="9"/>
  <c r="B195" i="9"/>
  <c r="J188" i="9"/>
  <c r="B179" i="9"/>
  <c r="C172" i="9"/>
  <c r="C148" i="9"/>
  <c r="C147" i="9"/>
  <c r="I142" i="9"/>
  <c r="H140" i="9"/>
  <c r="O128" i="9"/>
  <c r="H127" i="9"/>
  <c r="D127" i="9"/>
  <c r="P125" i="9"/>
  <c r="H125" i="9"/>
  <c r="F125" i="9"/>
  <c r="F124" i="9"/>
  <c r="P123" i="9"/>
  <c r="O122" i="9"/>
  <c r="D121" i="9"/>
  <c r="O120" i="9"/>
  <c r="H119" i="9"/>
  <c r="D119" i="9"/>
  <c r="F117" i="9"/>
  <c r="M115" i="9"/>
  <c r="J115" i="9"/>
  <c r="H115" i="9"/>
  <c r="B115" i="9"/>
  <c r="C106" i="9"/>
  <c r="M106" i="9" s="1"/>
  <c r="C104" i="9"/>
  <c r="I104" i="9" s="1"/>
  <c r="J100" i="9"/>
  <c r="E100" i="9"/>
  <c r="C100" i="9"/>
  <c r="I100" i="9" s="1"/>
  <c r="G98" i="9"/>
  <c r="I96" i="9"/>
  <c r="C96" i="9"/>
  <c r="M90" i="9"/>
  <c r="J90" i="9"/>
  <c r="I90" i="9"/>
  <c r="H90" i="9"/>
  <c r="E90" i="9"/>
  <c r="M89" i="9"/>
  <c r="J89" i="9"/>
  <c r="I89" i="9"/>
  <c r="H89" i="9"/>
  <c r="E89" i="9"/>
  <c r="M88" i="9"/>
  <c r="J88" i="9"/>
  <c r="I88" i="9"/>
  <c r="H88" i="9"/>
  <c r="E88" i="9"/>
  <c r="M85" i="9"/>
  <c r="K85" i="9"/>
  <c r="J85" i="9"/>
  <c r="I85" i="9"/>
  <c r="H85" i="9"/>
  <c r="I72" i="9"/>
  <c r="H70" i="9"/>
  <c r="C58" i="9"/>
  <c r="B58" i="9" s="1"/>
  <c r="C57" i="9"/>
  <c r="C56" i="9"/>
  <c r="F50" i="9"/>
  <c r="F48" i="9"/>
  <c r="F46" i="9"/>
  <c r="F44" i="9"/>
  <c r="F42" i="9"/>
  <c r="F40" i="9"/>
  <c r="F38" i="9"/>
  <c r="F36" i="9"/>
  <c r="F34" i="9"/>
  <c r="F32" i="9"/>
  <c r="F30" i="9"/>
  <c r="F28" i="9"/>
  <c r="F26" i="9"/>
  <c r="F24" i="9"/>
  <c r="F22" i="9"/>
  <c r="F20" i="9"/>
  <c r="F18" i="9"/>
  <c r="B12" i="9"/>
  <c r="I8" i="9"/>
  <c r="O5" i="9"/>
  <c r="O3" i="9"/>
  <c r="O1" i="9"/>
  <c r="D1" i="9"/>
  <c r="G253" i="6"/>
  <c r="E253" i="6"/>
  <c r="B253" i="6"/>
  <c r="G252" i="6"/>
  <c r="E252" i="6"/>
  <c r="B252" i="6"/>
  <c r="G251" i="6"/>
  <c r="E251" i="6"/>
  <c r="B251" i="6"/>
  <c r="L247" i="6"/>
  <c r="B247" i="6"/>
  <c r="L245" i="6"/>
  <c r="B245" i="6"/>
  <c r="I234" i="6"/>
  <c r="E233" i="6"/>
  <c r="I232" i="6"/>
  <c r="C232" i="6"/>
  <c r="E227" i="6"/>
  <c r="E225" i="6"/>
  <c r="I224" i="6"/>
  <c r="L216" i="6"/>
  <c r="D120" i="6"/>
  <c r="D119" i="6"/>
  <c r="D118" i="6"/>
  <c r="D117" i="6"/>
  <c r="D116" i="6"/>
  <c r="D115" i="6"/>
  <c r="D114" i="6"/>
  <c r="D113" i="6"/>
  <c r="D112" i="6"/>
  <c r="D111" i="6"/>
  <c r="F110" i="6"/>
  <c r="E110" i="6"/>
  <c r="D110" i="6"/>
  <c r="K105" i="6"/>
  <c r="E105" i="6"/>
  <c r="B101" i="6"/>
  <c r="I236" i="6" s="1"/>
  <c r="B100" i="6"/>
  <c r="I235" i="6" s="1"/>
  <c r="B99" i="6"/>
  <c r="I225" i="6" s="1"/>
  <c r="B98" i="6"/>
  <c r="I233" i="6" s="1"/>
  <c r="B97" i="6"/>
  <c r="I223" i="6" s="1"/>
  <c r="B96" i="6"/>
  <c r="E236" i="6" s="1"/>
  <c r="B95" i="6"/>
  <c r="E226" i="6" s="1"/>
  <c r="B94" i="6"/>
  <c r="E234" i="6" s="1"/>
  <c r="B93" i="6"/>
  <c r="E224" i="6" s="1"/>
  <c r="B92" i="6"/>
  <c r="E232" i="6" s="1"/>
  <c r="B88" i="6"/>
  <c r="I84" i="6"/>
  <c r="H84" i="6"/>
  <c r="J101" i="6" s="1"/>
  <c r="G84" i="6"/>
  <c r="F84" i="6"/>
  <c r="E84" i="6"/>
  <c r="D84" i="6"/>
  <c r="C84" i="6"/>
  <c r="B84" i="6"/>
  <c r="A84" i="6"/>
  <c r="I83" i="6"/>
  <c r="H83" i="6"/>
  <c r="G83" i="6"/>
  <c r="F83" i="6"/>
  <c r="I100" i="6" s="1"/>
  <c r="E83" i="6"/>
  <c r="D83" i="6"/>
  <c r="C83" i="6"/>
  <c r="B83" i="6"/>
  <c r="A83" i="6"/>
  <c r="I82" i="6"/>
  <c r="H82" i="6"/>
  <c r="J99" i="6" s="1"/>
  <c r="G82" i="6"/>
  <c r="F82" i="6"/>
  <c r="E82" i="6"/>
  <c r="D82" i="6"/>
  <c r="C82" i="6"/>
  <c r="B82" i="6"/>
  <c r="A82" i="6"/>
  <c r="I81" i="6"/>
  <c r="H81" i="6"/>
  <c r="G81" i="6"/>
  <c r="F81" i="6"/>
  <c r="E81" i="6"/>
  <c r="D81" i="6"/>
  <c r="C81" i="6"/>
  <c r="B81" i="6"/>
  <c r="G98" i="6" s="1"/>
  <c r="A81" i="6"/>
  <c r="I80" i="6"/>
  <c r="H80" i="6"/>
  <c r="G80" i="6"/>
  <c r="F80" i="6"/>
  <c r="I97" i="6" s="1"/>
  <c r="E80" i="6"/>
  <c r="D80" i="6"/>
  <c r="C80" i="6"/>
  <c r="B80" i="6"/>
  <c r="A80" i="6"/>
  <c r="I79" i="6"/>
  <c r="H79" i="6"/>
  <c r="J96" i="6" s="1"/>
  <c r="G79" i="6"/>
  <c r="F79" i="6"/>
  <c r="E79" i="6"/>
  <c r="D79" i="6"/>
  <c r="C79" i="6"/>
  <c r="B79" i="6"/>
  <c r="A79" i="6"/>
  <c r="I78" i="6"/>
  <c r="H78" i="6"/>
  <c r="J95" i="6" s="1"/>
  <c r="G78" i="6"/>
  <c r="F78" i="6"/>
  <c r="E78" i="6"/>
  <c r="D78" i="6"/>
  <c r="C78" i="6"/>
  <c r="B78" i="6"/>
  <c r="A78" i="6"/>
  <c r="I77" i="6"/>
  <c r="H77" i="6"/>
  <c r="J94" i="6" s="1"/>
  <c r="G77" i="6"/>
  <c r="F77" i="6"/>
  <c r="E77" i="6"/>
  <c r="D77" i="6"/>
  <c r="C77" i="6"/>
  <c r="B77" i="6"/>
  <c r="A77" i="6"/>
  <c r="I76" i="6"/>
  <c r="H76" i="6"/>
  <c r="G76" i="6"/>
  <c r="F76" i="6"/>
  <c r="E76" i="6"/>
  <c r="D76" i="6"/>
  <c r="H93" i="6" s="1"/>
  <c r="C76" i="6"/>
  <c r="B76" i="6"/>
  <c r="A76" i="6"/>
  <c r="I75" i="6"/>
  <c r="H75" i="6"/>
  <c r="G75" i="6"/>
  <c r="F75" i="6"/>
  <c r="E75" i="6"/>
  <c r="D75" i="6"/>
  <c r="H92" i="6" s="1"/>
  <c r="C75" i="6"/>
  <c r="B75" i="6"/>
  <c r="A75" i="6"/>
  <c r="K66" i="6"/>
  <c r="E66" i="6"/>
  <c r="L214" i="6" s="1"/>
  <c r="M44" i="6"/>
  <c r="L44" i="6"/>
  <c r="K44" i="6"/>
  <c r="J44" i="6"/>
  <c r="I44" i="6"/>
  <c r="H44" i="6"/>
  <c r="G44" i="6"/>
  <c r="F44" i="6"/>
  <c r="E44" i="6"/>
  <c r="D44" i="6"/>
  <c r="C44" i="6"/>
  <c r="B44" i="6"/>
  <c r="A40" i="6"/>
  <c r="K32" i="6"/>
  <c r="L32" i="6" s="1"/>
  <c r="K31" i="6"/>
  <c r="K89" i="9" s="1"/>
  <c r="N89" i="9" s="1"/>
  <c r="C31" i="6"/>
  <c r="K30" i="6"/>
  <c r="K88" i="9" s="1"/>
  <c r="N88" i="9" s="1"/>
  <c r="C29" i="6"/>
  <c r="K27" i="6"/>
  <c r="J27" i="6"/>
  <c r="I27" i="6"/>
  <c r="H27" i="6"/>
  <c r="G27" i="6"/>
  <c r="C27" i="6"/>
  <c r="K5" i="6"/>
  <c r="K3" i="6"/>
  <c r="K1" i="6"/>
  <c r="D1" i="6"/>
  <c r="L78" i="1"/>
  <c r="H78" i="1"/>
  <c r="D78" i="1"/>
  <c r="L77" i="1"/>
  <c r="I77" i="1"/>
  <c r="H77" i="1"/>
  <c r="D77" i="1"/>
  <c r="L76" i="1"/>
  <c r="L74" i="1"/>
  <c r="H74" i="1"/>
  <c r="M190" i="9" s="1"/>
  <c r="D74" i="1"/>
  <c r="J190" i="9" s="1"/>
  <c r="L73" i="1"/>
  <c r="O190" i="9" s="1"/>
  <c r="I73" i="1"/>
  <c r="H73" i="1"/>
  <c r="D73" i="1"/>
  <c r="L72" i="1"/>
  <c r="C190" i="9" s="1"/>
  <c r="L70" i="1"/>
  <c r="H70" i="1"/>
  <c r="M188" i="9" s="1"/>
  <c r="D70" i="1"/>
  <c r="L69" i="1"/>
  <c r="O188" i="9" s="1"/>
  <c r="I69" i="1"/>
  <c r="H69" i="1"/>
  <c r="D69" i="1"/>
  <c r="L68" i="1"/>
  <c r="C188" i="9" s="1"/>
  <c r="L66" i="1"/>
  <c r="H66" i="1"/>
  <c r="D66" i="1"/>
  <c r="L65" i="1"/>
  <c r="I65" i="1"/>
  <c r="H65" i="1"/>
  <c r="Q21" i="7" s="1"/>
  <c r="D65" i="1"/>
  <c r="L64" i="1"/>
  <c r="L62" i="1"/>
  <c r="H62" i="1"/>
  <c r="D62" i="1"/>
  <c r="L61" i="1"/>
  <c r="I61" i="1"/>
  <c r="H61" i="1"/>
  <c r="D61" i="1"/>
  <c r="L60" i="1"/>
  <c r="E44" i="1"/>
  <c r="N43" i="1"/>
  <c r="L42" i="1"/>
  <c r="N102" i="9" s="1"/>
  <c r="N40" i="1"/>
  <c r="N39" i="1"/>
  <c r="N38" i="1"/>
  <c r="I32" i="1"/>
  <c r="M27" i="1"/>
  <c r="L27" i="1"/>
  <c r="K27" i="1"/>
  <c r="J27" i="1"/>
  <c r="I27" i="1"/>
  <c r="H27" i="1"/>
  <c r="G27" i="1"/>
  <c r="F27" i="1"/>
  <c r="E27" i="1"/>
  <c r="D27" i="1"/>
  <c r="C27" i="1"/>
  <c r="B27" i="1"/>
  <c r="B128" i="9" s="1"/>
  <c r="M26" i="1"/>
  <c r="L26" i="1"/>
  <c r="O127" i="9" s="1"/>
  <c r="K26" i="1"/>
  <c r="J26" i="1"/>
  <c r="I26" i="1"/>
  <c r="H26" i="1"/>
  <c r="G26" i="1"/>
  <c r="F26" i="1"/>
  <c r="E26" i="1"/>
  <c r="D26" i="1"/>
  <c r="C26" i="1"/>
  <c r="B26" i="1"/>
  <c r="B127" i="9" s="1"/>
  <c r="P127" i="9" s="1"/>
  <c r="M25" i="1"/>
  <c r="L25" i="1"/>
  <c r="O126" i="9" s="1"/>
  <c r="K25" i="1"/>
  <c r="J25" i="1"/>
  <c r="I25" i="1"/>
  <c r="H25" i="1"/>
  <c r="G25" i="1"/>
  <c r="F25" i="1"/>
  <c r="E25" i="1"/>
  <c r="D25" i="1"/>
  <c r="C25" i="1"/>
  <c r="B25" i="1"/>
  <c r="M24" i="1"/>
  <c r="L24" i="1"/>
  <c r="O125" i="9" s="1"/>
  <c r="K24" i="1"/>
  <c r="J24" i="1"/>
  <c r="I24" i="1"/>
  <c r="H24" i="1"/>
  <c r="G24" i="1"/>
  <c r="F24" i="1"/>
  <c r="E24" i="1"/>
  <c r="D24" i="1"/>
  <c r="C24" i="1"/>
  <c r="B24" i="1"/>
  <c r="B125" i="9" s="1"/>
  <c r="M23" i="1"/>
  <c r="L23" i="1"/>
  <c r="O124" i="9" s="1"/>
  <c r="K23" i="1"/>
  <c r="J23" i="1"/>
  <c r="I23" i="1"/>
  <c r="H23" i="1"/>
  <c r="G23" i="1"/>
  <c r="F23" i="1"/>
  <c r="E23" i="1"/>
  <c r="D23" i="1"/>
  <c r="C23" i="1"/>
  <c r="B23" i="1"/>
  <c r="B124" i="9" s="1"/>
  <c r="M22" i="1"/>
  <c r="L22" i="1"/>
  <c r="O123" i="9" s="1"/>
  <c r="K22" i="1"/>
  <c r="J22" i="1"/>
  <c r="I22" i="1"/>
  <c r="H22" i="1"/>
  <c r="G22" i="1"/>
  <c r="F22" i="1"/>
  <c r="E22" i="1"/>
  <c r="D22" i="1"/>
  <c r="C22" i="1"/>
  <c r="B22" i="1"/>
  <c r="B123" i="9" s="1"/>
  <c r="D123" i="9" s="1"/>
  <c r="M21" i="1"/>
  <c r="L21" i="1"/>
  <c r="K21" i="1"/>
  <c r="J21" i="1"/>
  <c r="I21" i="1"/>
  <c r="H21" i="1"/>
  <c r="G21" i="1"/>
  <c r="F21" i="1"/>
  <c r="E21" i="1"/>
  <c r="D21" i="1"/>
  <c r="C21" i="1"/>
  <c r="B21" i="1"/>
  <c r="M20" i="1"/>
  <c r="L20" i="1"/>
  <c r="O121" i="9" s="1"/>
  <c r="K20" i="1"/>
  <c r="J20" i="1"/>
  <c r="I20" i="1"/>
  <c r="H20" i="1"/>
  <c r="G20" i="1"/>
  <c r="F20" i="1"/>
  <c r="E20" i="1"/>
  <c r="D20" i="1"/>
  <c r="C20" i="1"/>
  <c r="B20" i="1"/>
  <c r="B121" i="9" s="1"/>
  <c r="H121" i="9" s="1"/>
  <c r="M19" i="1"/>
  <c r="L19" i="1"/>
  <c r="K19" i="1"/>
  <c r="J19" i="1"/>
  <c r="I19" i="1"/>
  <c r="H19" i="1"/>
  <c r="G19" i="1"/>
  <c r="F19" i="1"/>
  <c r="E19" i="1"/>
  <c r="D19" i="1"/>
  <c r="C19" i="1"/>
  <c r="B19" i="1"/>
  <c r="B120" i="9" s="1"/>
  <c r="M18" i="1"/>
  <c r="L18" i="1"/>
  <c r="O119" i="9" s="1"/>
  <c r="K18" i="1"/>
  <c r="J18" i="1"/>
  <c r="I18" i="1"/>
  <c r="H18" i="1"/>
  <c r="G18" i="1"/>
  <c r="F18" i="1"/>
  <c r="E18" i="1"/>
  <c r="D18" i="1"/>
  <c r="C18" i="1"/>
  <c r="B18" i="1"/>
  <c r="B119" i="9" s="1"/>
  <c r="P119" i="9" s="1"/>
  <c r="C55" i="9" l="1"/>
  <c r="L77" i="6"/>
  <c r="L83" i="6"/>
  <c r="O104" i="9"/>
  <c r="L78" i="6"/>
  <c r="K95" i="6"/>
  <c r="O109" i="9"/>
  <c r="K75" i="6"/>
  <c r="M78" i="6"/>
  <c r="M81" i="6"/>
  <c r="M80" i="6"/>
  <c r="K80" i="6"/>
  <c r="L99" i="6"/>
  <c r="L100" i="6"/>
  <c r="L75" i="6"/>
  <c r="L92" i="6"/>
  <c r="I163" i="6" s="1"/>
  <c r="I164" i="6" s="1"/>
  <c r="I165" i="6" s="1"/>
  <c r="I166" i="6" s="1"/>
  <c r="I167" i="6" s="1"/>
  <c r="I168" i="6" s="1"/>
  <c r="I169" i="6" s="1"/>
  <c r="I170" i="6" s="1"/>
  <c r="I171" i="6" s="1"/>
  <c r="I172" i="6" s="1"/>
  <c r="J79" i="6"/>
  <c r="K82" i="6"/>
  <c r="K97" i="6"/>
  <c r="J77" i="6"/>
  <c r="J80" i="6"/>
  <c r="K83" i="6"/>
  <c r="K94" i="6"/>
  <c r="L94" i="6"/>
  <c r="G101" i="6"/>
  <c r="K90" i="9"/>
  <c r="N90" i="9" s="1"/>
  <c r="BE70" i="7"/>
  <c r="BG70" i="7" s="1"/>
  <c r="BI70" i="7" s="1"/>
  <c r="CC70" i="7"/>
  <c r="CE70" i="7" s="1"/>
  <c r="CG70" i="7" s="1"/>
  <c r="G604" i="5"/>
  <c r="N346" i="5"/>
  <c r="F474" i="5"/>
  <c r="G474" i="5" s="1"/>
  <c r="F429" i="5"/>
  <c r="G429" i="5" s="1"/>
  <c r="D82" i="5"/>
  <c r="D87" i="5"/>
  <c r="E87" i="5" s="1"/>
  <c r="G379" i="5"/>
  <c r="G96" i="6"/>
  <c r="J97" i="6"/>
  <c r="H98" i="6"/>
  <c r="J100" i="6"/>
  <c r="L215" i="6"/>
  <c r="B215" i="6" s="1"/>
  <c r="O17" i="7" s="1"/>
  <c r="N125" i="5"/>
  <c r="G311" i="5"/>
  <c r="N383" i="5"/>
  <c r="G414" i="5"/>
  <c r="F421" i="5" s="1" a="1"/>
  <c r="F421" i="5" s="1"/>
  <c r="G603" i="5"/>
  <c r="H726" i="5"/>
  <c r="G24" i="5"/>
  <c r="G315" i="5"/>
  <c r="N223" i="5"/>
  <c r="G347" i="5"/>
  <c r="G383" i="5"/>
  <c r="H700" i="5"/>
  <c r="E82" i="5"/>
  <c r="N30" i="5"/>
  <c r="G219" i="5"/>
  <c r="G462" i="5"/>
  <c r="C65" i="9"/>
  <c r="L30" i="6"/>
  <c r="G93" i="6"/>
  <c r="I95" i="6"/>
  <c r="D79" i="5"/>
  <c r="E79" i="5" s="1"/>
  <c r="N127" i="5"/>
  <c r="N126" i="5"/>
  <c r="G223" i="5"/>
  <c r="D296" i="5"/>
  <c r="E296" i="5" s="1"/>
  <c r="D277" i="5"/>
  <c r="E277" i="5" s="1"/>
  <c r="N347" i="5"/>
  <c r="N379" i="5"/>
  <c r="N382" i="5"/>
  <c r="M519" i="5"/>
  <c r="N519" i="5" s="1"/>
  <c r="D47" i="5"/>
  <c r="N123" i="5"/>
  <c r="D285" i="5"/>
  <c r="E285" i="5" s="1"/>
  <c r="M323" i="5" a="1"/>
  <c r="M323" i="5" s="1"/>
  <c r="I92" i="6"/>
  <c r="F163" i="6" s="1"/>
  <c r="F164" i="6" s="1"/>
  <c r="F165" i="6" s="1"/>
  <c r="F166" i="6" s="1"/>
  <c r="F167" i="6" s="1"/>
  <c r="F168" i="6" s="1"/>
  <c r="F169" i="6" s="1"/>
  <c r="F170" i="6" s="1"/>
  <c r="F171" i="6" s="1"/>
  <c r="F172" i="6" s="1"/>
  <c r="H96" i="6"/>
  <c r="I98" i="6"/>
  <c r="H99" i="6"/>
  <c r="N219" i="5"/>
  <c r="D269" i="5"/>
  <c r="N380" i="5"/>
  <c r="G417" i="5"/>
  <c r="M609" i="5" a="1"/>
  <c r="M609" i="5" s="1"/>
  <c r="E733" i="5"/>
  <c r="E734" i="5" s="1"/>
  <c r="E735" i="5" s="1"/>
  <c r="E736" i="5" s="1"/>
  <c r="E737" i="5" s="1"/>
  <c r="E738" i="5" s="1"/>
  <c r="E739" i="5" s="1"/>
  <c r="G733" i="5"/>
  <c r="G734" i="5" s="1"/>
  <c r="G735" i="5" s="1"/>
  <c r="G736" i="5" s="1"/>
  <c r="G737" i="5" s="1"/>
  <c r="G738" i="5" s="1"/>
  <c r="G739" i="5" s="1"/>
  <c r="D261" i="5"/>
  <c r="J92" i="6"/>
  <c r="G163" i="6" s="1"/>
  <c r="G164" i="6" s="1"/>
  <c r="G165" i="6" s="1"/>
  <c r="G166" i="6" s="1"/>
  <c r="G167" i="6" s="1"/>
  <c r="G168" i="6" s="1"/>
  <c r="G169" i="6" s="1"/>
  <c r="G170" i="6" s="1"/>
  <c r="G171" i="6" s="1"/>
  <c r="G172" i="6" s="1"/>
  <c r="H94" i="6"/>
  <c r="H97" i="6"/>
  <c r="J98" i="6"/>
  <c r="I99" i="6"/>
  <c r="H100" i="6"/>
  <c r="N222" i="5"/>
  <c r="D253" i="5"/>
  <c r="D331" i="5"/>
  <c r="E331" i="5" s="1"/>
  <c r="G401" i="5"/>
  <c r="F430" i="5"/>
  <c r="G430" i="5" s="1"/>
  <c r="G550" i="5"/>
  <c r="H630" i="5"/>
  <c r="I733" i="5"/>
  <c r="I734" i="5" s="1"/>
  <c r="I735" i="5" s="1"/>
  <c r="I736" i="5" s="1"/>
  <c r="I737" i="5" s="1"/>
  <c r="I738" i="5" s="1"/>
  <c r="G598" i="5"/>
  <c r="D50" i="5"/>
  <c r="D237" i="5"/>
  <c r="M733" i="5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N832" i="5" s="1"/>
  <c r="D245" i="5"/>
  <c r="Q70" i="7"/>
  <c r="S70" i="7" s="1"/>
  <c r="U70" i="7" s="1"/>
  <c r="J93" i="6"/>
  <c r="H95" i="6"/>
  <c r="H101" i="6"/>
  <c r="D55" i="5"/>
  <c r="E55" i="5" s="1"/>
  <c r="N119" i="5"/>
  <c r="N124" i="5"/>
  <c r="G215" i="5"/>
  <c r="D293" i="5"/>
  <c r="E293" i="5" s="1"/>
  <c r="G415" i="5"/>
  <c r="N507" i="5"/>
  <c r="H662" i="5"/>
  <c r="D10" i="1"/>
  <c r="H10" i="1"/>
  <c r="C95" i="6"/>
  <c r="G226" i="6" s="1"/>
  <c r="AM38" i="7" s="1"/>
  <c r="AQ38" i="7" s="1"/>
  <c r="AS38" i="7" s="1"/>
  <c r="E627" i="5"/>
  <c r="E628" i="5" s="1"/>
  <c r="E629" i="5" s="1"/>
  <c r="E630" i="5" s="1"/>
  <c r="E631" i="5" s="1"/>
  <c r="E632" i="5" s="1"/>
  <c r="E633" i="5" s="1"/>
  <c r="E634" i="5" s="1"/>
  <c r="E635" i="5" s="1"/>
  <c r="E636" i="5" s="1"/>
  <c r="E637" i="5" s="1"/>
  <c r="E638" i="5" s="1"/>
  <c r="E639" i="5" s="1"/>
  <c r="E640" i="5" s="1"/>
  <c r="E641" i="5" s="1"/>
  <c r="E642" i="5" s="1"/>
  <c r="E643" i="5" s="1"/>
  <c r="E644" i="5" s="1"/>
  <c r="BE67" i="7"/>
  <c r="BG67" i="7" s="1"/>
  <c r="BI67" i="7" s="1"/>
  <c r="L10" i="1"/>
  <c r="I96" i="6"/>
  <c r="D115" i="7"/>
  <c r="I94" i="6"/>
  <c r="C97" i="6"/>
  <c r="K223" i="6" s="1"/>
  <c r="BC35" i="7" s="1"/>
  <c r="AG67" i="7"/>
  <c r="AI67" i="7" s="1"/>
  <c r="AK67" i="7" s="1"/>
  <c r="D114" i="7"/>
  <c r="Q24" i="7"/>
  <c r="S24" i="7" s="1"/>
  <c r="U24" i="7" s="1"/>
  <c r="E163" i="6"/>
  <c r="E164" i="6" s="1"/>
  <c r="E165" i="6" s="1"/>
  <c r="E166" i="6" s="1"/>
  <c r="E167" i="6" s="1"/>
  <c r="E168" i="6" s="1"/>
  <c r="E169" i="6" s="1"/>
  <c r="E170" i="6" s="1"/>
  <c r="E171" i="6" s="1"/>
  <c r="E172" i="6" s="1"/>
  <c r="I226" i="6"/>
  <c r="M120" i="9"/>
  <c r="J120" i="9"/>
  <c r="B122" i="9"/>
  <c r="C103" i="9"/>
  <c r="M124" i="9"/>
  <c r="J124" i="9"/>
  <c r="B126" i="9"/>
  <c r="C107" i="9"/>
  <c r="M128" i="9"/>
  <c r="J128" i="9"/>
  <c r="J77" i="7"/>
  <c r="BA65" i="7"/>
  <c r="AK68" i="7"/>
  <c r="BY65" i="7"/>
  <c r="AK66" i="7"/>
  <c r="AS65" i="7"/>
  <c r="BQ65" i="7"/>
  <c r="AC64" i="7"/>
  <c r="BQ64" i="7"/>
  <c r="N108" i="9"/>
  <c r="O107" i="9"/>
  <c r="N100" i="9"/>
  <c r="N104" i="9"/>
  <c r="O103" i="9"/>
  <c r="M75" i="6"/>
  <c r="AG70" i="7"/>
  <c r="AI70" i="7" s="1"/>
  <c r="AK70" i="7" s="1"/>
  <c r="K77" i="6"/>
  <c r="L80" i="6"/>
  <c r="BU67" i="7"/>
  <c r="BW67" i="7" s="1"/>
  <c r="BY67" i="7" s="1"/>
  <c r="J82" i="6"/>
  <c r="M83" i="6"/>
  <c r="C92" i="6"/>
  <c r="K92" i="6"/>
  <c r="H163" i="6" s="1"/>
  <c r="H164" i="6" s="1"/>
  <c r="H165" i="6" s="1"/>
  <c r="H166" i="6" s="1"/>
  <c r="H167" i="6" s="1"/>
  <c r="H168" i="6" s="1"/>
  <c r="H169" i="6" s="1"/>
  <c r="H170" i="6" s="1"/>
  <c r="H171" i="6" s="1"/>
  <c r="H172" i="6" s="1"/>
  <c r="D97" i="6"/>
  <c r="L97" i="6"/>
  <c r="C100" i="6"/>
  <c r="K100" i="6"/>
  <c r="E235" i="6"/>
  <c r="G100" i="9"/>
  <c r="N103" i="9"/>
  <c r="C105" i="9"/>
  <c r="G106" i="9"/>
  <c r="N109" i="9"/>
  <c r="F119" i="9"/>
  <c r="P120" i="9"/>
  <c r="D124" i="9"/>
  <c r="F127" i="9"/>
  <c r="P128" i="9"/>
  <c r="D725" i="5"/>
  <c r="D721" i="5"/>
  <c r="D717" i="5"/>
  <c r="D713" i="5"/>
  <c r="D726" i="5"/>
  <c r="D722" i="5"/>
  <c r="D718" i="5"/>
  <c r="D714" i="5"/>
  <c r="D710" i="5"/>
  <c r="D719" i="5"/>
  <c r="D712" i="5"/>
  <c r="D707" i="5"/>
  <c r="D703" i="5"/>
  <c r="D699" i="5"/>
  <c r="D695" i="5"/>
  <c r="D691" i="5"/>
  <c r="D687" i="5"/>
  <c r="D683" i="5"/>
  <c r="D679" i="5"/>
  <c r="D675" i="5"/>
  <c r="D671" i="5"/>
  <c r="D667" i="5"/>
  <c r="D663" i="5"/>
  <c r="D659" i="5"/>
  <c r="D655" i="5"/>
  <c r="D651" i="5"/>
  <c r="D647" i="5"/>
  <c r="D643" i="5"/>
  <c r="D639" i="5"/>
  <c r="D635" i="5"/>
  <c r="D631" i="5"/>
  <c r="D627" i="5"/>
  <c r="D724" i="5"/>
  <c r="D715" i="5"/>
  <c r="D704" i="5"/>
  <c r="D700" i="5"/>
  <c r="D696" i="5"/>
  <c r="D692" i="5"/>
  <c r="D688" i="5"/>
  <c r="D684" i="5"/>
  <c r="D680" i="5"/>
  <c r="D676" i="5"/>
  <c r="D708" i="5"/>
  <c r="D720" i="5"/>
  <c r="D711" i="5"/>
  <c r="D705" i="5"/>
  <c r="D701" i="5"/>
  <c r="D697" i="5"/>
  <c r="D693" i="5"/>
  <c r="D689" i="5"/>
  <c r="D685" i="5"/>
  <c r="D681" i="5"/>
  <c r="D677" i="5"/>
  <c r="D673" i="5"/>
  <c r="D669" i="5"/>
  <c r="D665" i="5"/>
  <c r="D661" i="5"/>
  <c r="D657" i="5"/>
  <c r="D653" i="5"/>
  <c r="D649" i="5"/>
  <c r="D645" i="5"/>
  <c r="D641" i="5"/>
  <c r="D637" i="5"/>
  <c r="D633" i="5"/>
  <c r="D629" i="5"/>
  <c r="D666" i="5"/>
  <c r="D648" i="5"/>
  <c r="D634" i="5"/>
  <c r="D694" i="5"/>
  <c r="D678" i="5"/>
  <c r="D662" i="5"/>
  <c r="D644" i="5"/>
  <c r="D630" i="5"/>
  <c r="D101" i="5"/>
  <c r="E101" i="5" s="1"/>
  <c r="D93" i="5"/>
  <c r="E93" i="5" s="1"/>
  <c r="D85" i="5"/>
  <c r="E85" i="5" s="1"/>
  <c r="D77" i="5"/>
  <c r="E77" i="5" s="1"/>
  <c r="D69" i="5"/>
  <c r="E69" i="5" s="1"/>
  <c r="D61" i="5"/>
  <c r="E61" i="5" s="1"/>
  <c r="D53" i="5"/>
  <c r="E53" i="5" s="1"/>
  <c r="D45" i="5"/>
  <c r="E45" i="5" s="1"/>
  <c r="N31" i="5"/>
  <c r="N27" i="5"/>
  <c r="N23" i="5"/>
  <c r="N19" i="5"/>
  <c r="D672" i="5"/>
  <c r="D658" i="5"/>
  <c r="D640" i="5"/>
  <c r="D104" i="5"/>
  <c r="E104" i="5" s="1"/>
  <c r="D96" i="5"/>
  <c r="E96" i="5" s="1"/>
  <c r="D88" i="5"/>
  <c r="E88" i="5" s="1"/>
  <c r="D80" i="5"/>
  <c r="E80" i="5" s="1"/>
  <c r="D72" i="5"/>
  <c r="E72" i="5" s="1"/>
  <c r="D64" i="5"/>
  <c r="E64" i="5" s="1"/>
  <c r="D56" i="5"/>
  <c r="E56" i="5" s="1"/>
  <c r="D48" i="5"/>
  <c r="E48" i="5" s="1"/>
  <c r="G27" i="5"/>
  <c r="G19" i="5"/>
  <c r="D723" i="5"/>
  <c r="D716" i="5"/>
  <c r="D709" i="5"/>
  <c r="D698" i="5"/>
  <c r="D682" i="5"/>
  <c r="D668" i="5"/>
  <c r="D654" i="5"/>
  <c r="D636" i="5"/>
  <c r="D626" i="5"/>
  <c r="D99" i="5"/>
  <c r="E99" i="5" s="1"/>
  <c r="D91" i="5"/>
  <c r="E91" i="5" s="1"/>
  <c r="D83" i="5"/>
  <c r="E83" i="5" s="1"/>
  <c r="D75" i="5"/>
  <c r="E75" i="5" s="1"/>
  <c r="D67" i="5"/>
  <c r="E67" i="5" s="1"/>
  <c r="D59" i="5"/>
  <c r="E59" i="5" s="1"/>
  <c r="D51" i="5"/>
  <c r="E51" i="5" s="1"/>
  <c r="D664" i="5"/>
  <c r="D650" i="5"/>
  <c r="D632" i="5"/>
  <c r="D102" i="5"/>
  <c r="E102" i="5" s="1"/>
  <c r="D94" i="5"/>
  <c r="E94" i="5" s="1"/>
  <c r="D86" i="5"/>
  <c r="E86" i="5" s="1"/>
  <c r="D78" i="5"/>
  <c r="E78" i="5" s="1"/>
  <c r="D70" i="5"/>
  <c r="E70" i="5" s="1"/>
  <c r="D62" i="5"/>
  <c r="E62" i="5" s="1"/>
  <c r="D54" i="5"/>
  <c r="E54" i="5" s="1"/>
  <c r="D46" i="5"/>
  <c r="E46" i="5" s="1"/>
  <c r="G26" i="5"/>
  <c r="G22" i="5"/>
  <c r="D702" i="5"/>
  <c r="D686" i="5"/>
  <c r="D660" i="5"/>
  <c r="D646" i="5"/>
  <c r="D628" i="5"/>
  <c r="D97" i="5"/>
  <c r="E97" i="5" s="1"/>
  <c r="D89" i="5"/>
  <c r="E89" i="5" s="1"/>
  <c r="D81" i="5"/>
  <c r="E81" i="5" s="1"/>
  <c r="D73" i="5"/>
  <c r="E73" i="5" s="1"/>
  <c r="D65" i="5"/>
  <c r="E65" i="5" s="1"/>
  <c r="D57" i="5"/>
  <c r="E57" i="5" s="1"/>
  <c r="D49" i="5"/>
  <c r="E49" i="5" s="1"/>
  <c r="N29" i="5"/>
  <c r="N25" i="5"/>
  <c r="N21" i="5"/>
  <c r="D656" i="5"/>
  <c r="D642" i="5"/>
  <c r="D100" i="5"/>
  <c r="E100" i="5" s="1"/>
  <c r="D92" i="5"/>
  <c r="E92" i="5" s="1"/>
  <c r="D84" i="5"/>
  <c r="E84" i="5" s="1"/>
  <c r="D76" i="5"/>
  <c r="E76" i="5" s="1"/>
  <c r="D68" i="5"/>
  <c r="E68" i="5" s="1"/>
  <c r="D60" i="5"/>
  <c r="E60" i="5" s="1"/>
  <c r="D52" i="5"/>
  <c r="E52" i="5" s="1"/>
  <c r="G29" i="5"/>
  <c r="G25" i="5"/>
  <c r="G21" i="5"/>
  <c r="D58" i="5"/>
  <c r="E58" i="5" s="1"/>
  <c r="D90" i="5"/>
  <c r="E90" i="5" s="1"/>
  <c r="G349" i="5"/>
  <c r="G345" i="5"/>
  <c r="G352" i="5"/>
  <c r="G348" i="5"/>
  <c r="N460" i="5"/>
  <c r="L31" i="6"/>
  <c r="Y67" i="7"/>
  <c r="AA67" i="7" s="1"/>
  <c r="AC67" i="7" s="1"/>
  <c r="J76" i="6"/>
  <c r="M77" i="6"/>
  <c r="AW70" i="7"/>
  <c r="AY70" i="7" s="1"/>
  <c r="BA70" i="7" s="1"/>
  <c r="K79" i="6"/>
  <c r="L82" i="6"/>
  <c r="CK67" i="7"/>
  <c r="CM67" i="7" s="1"/>
  <c r="CO67" i="7" s="1"/>
  <c r="J84" i="6"/>
  <c r="G94" i="6"/>
  <c r="L95" i="6"/>
  <c r="C98" i="6"/>
  <c r="K98" i="6"/>
  <c r="K100" i="9"/>
  <c r="N101" i="9"/>
  <c r="O102" i="9"/>
  <c r="E104" i="9"/>
  <c r="J106" i="9"/>
  <c r="O108" i="9"/>
  <c r="F121" i="9"/>
  <c r="H124" i="9"/>
  <c r="N26" i="5"/>
  <c r="D66" i="5"/>
  <c r="E66" i="5" s="1"/>
  <c r="D98" i="5"/>
  <c r="E98" i="5" s="1"/>
  <c r="F737" i="5"/>
  <c r="F736" i="5"/>
  <c r="F732" i="5"/>
  <c r="M429" i="5"/>
  <c r="N429" i="5" s="1"/>
  <c r="N416" i="5"/>
  <c r="M430" i="5"/>
  <c r="N415" i="5"/>
  <c r="D638" i="5"/>
  <c r="D706" i="5"/>
  <c r="BU70" i="7"/>
  <c r="BW70" i="7" s="1"/>
  <c r="BY70" i="7" s="1"/>
  <c r="G99" i="6"/>
  <c r="I101" i="6"/>
  <c r="E223" i="6"/>
  <c r="I106" i="9"/>
  <c r="Y70" i="7"/>
  <c r="AA70" i="7" s="1"/>
  <c r="AC70" i="7" s="1"/>
  <c r="K76" i="6"/>
  <c r="L79" i="6"/>
  <c r="BM67" i="7"/>
  <c r="BO67" i="7" s="1"/>
  <c r="BQ67" i="7" s="1"/>
  <c r="J81" i="6"/>
  <c r="M82" i="6"/>
  <c r="D99" i="6" s="1"/>
  <c r="CK70" i="7"/>
  <c r="CM70" i="7" s="1"/>
  <c r="CO70" i="7" s="1"/>
  <c r="K84" i="6"/>
  <c r="C93" i="6"/>
  <c r="K93" i="6"/>
  <c r="G97" i="6"/>
  <c r="L98" i="6"/>
  <c r="C101" i="6"/>
  <c r="K101" i="6"/>
  <c r="I227" i="6"/>
  <c r="M100" i="9"/>
  <c r="O101" i="9"/>
  <c r="G104" i="9"/>
  <c r="N107" i="9"/>
  <c r="C109" i="9"/>
  <c r="G28" i="5"/>
  <c r="D63" i="5"/>
  <c r="E63" i="5" s="1"/>
  <c r="D95" i="5"/>
  <c r="E95" i="5" s="1"/>
  <c r="G120" i="5"/>
  <c r="D146" i="5"/>
  <c r="E146" i="5" s="1"/>
  <c r="D154" i="5"/>
  <c r="E154" i="5" s="1"/>
  <c r="D162" i="5"/>
  <c r="E162" i="5" s="1"/>
  <c r="D170" i="5"/>
  <c r="E170" i="5" s="1"/>
  <c r="D178" i="5"/>
  <c r="E178" i="5" s="1"/>
  <c r="D186" i="5"/>
  <c r="E186" i="5" s="1"/>
  <c r="D194" i="5"/>
  <c r="E194" i="5" s="1"/>
  <c r="N215" i="5"/>
  <c r="E237" i="5"/>
  <c r="E245" i="5"/>
  <c r="E253" i="5"/>
  <c r="E261" i="5"/>
  <c r="E269" i="5"/>
  <c r="G314" i="5"/>
  <c r="G310" i="5"/>
  <c r="G313" i="5"/>
  <c r="G309" i="5"/>
  <c r="G312" i="5"/>
  <c r="D670" i="5"/>
  <c r="M119" i="9"/>
  <c r="J119" i="9"/>
  <c r="M121" i="9"/>
  <c r="J121" i="9"/>
  <c r="M123" i="9"/>
  <c r="J123" i="9"/>
  <c r="M125" i="9"/>
  <c r="J125" i="9"/>
  <c r="M127" i="9"/>
  <c r="J127" i="9"/>
  <c r="L76" i="6"/>
  <c r="J78" i="6"/>
  <c r="G92" i="6"/>
  <c r="L93" i="6"/>
  <c r="K96" i="6"/>
  <c r="G100" i="6"/>
  <c r="L101" i="6"/>
  <c r="O23" i="7"/>
  <c r="O20" i="7"/>
  <c r="S22" i="7" s="1"/>
  <c r="U22" i="7" s="1"/>
  <c r="C102" i="9"/>
  <c r="J104" i="9"/>
  <c r="N106" i="9"/>
  <c r="C108" i="9"/>
  <c r="D120" i="9"/>
  <c r="F123" i="9"/>
  <c r="P124" i="9"/>
  <c r="G20" i="5"/>
  <c r="N28" i="5"/>
  <c r="D74" i="5"/>
  <c r="E74" i="5" s="1"/>
  <c r="G350" i="5"/>
  <c r="D674" i="5"/>
  <c r="AW67" i="7"/>
  <c r="AY67" i="7" s="1"/>
  <c r="BA67" i="7" s="1"/>
  <c r="I93" i="6"/>
  <c r="AO67" i="7"/>
  <c r="AQ67" i="7" s="1"/>
  <c r="AS67" i="7" s="1"/>
  <c r="M79" i="6"/>
  <c r="BM70" i="7"/>
  <c r="BO70" i="7" s="1"/>
  <c r="BQ70" i="7" s="1"/>
  <c r="K81" i="6"/>
  <c r="D98" i="6" s="1"/>
  <c r="L84" i="6"/>
  <c r="C96" i="6"/>
  <c r="O100" i="9"/>
  <c r="D128" i="9"/>
  <c r="CC36" i="7"/>
  <c r="Q36" i="7"/>
  <c r="BE36" i="7"/>
  <c r="BU36" i="7"/>
  <c r="BM36" i="7"/>
  <c r="Q18" i="7"/>
  <c r="Y36" i="7"/>
  <c r="CK36" i="7"/>
  <c r="AW36" i="7"/>
  <c r="AO36" i="7"/>
  <c r="AG36" i="7"/>
  <c r="S21" i="7"/>
  <c r="U21" i="7" s="1"/>
  <c r="BU63" i="7"/>
  <c r="BW63" i="7" s="1"/>
  <c r="BY63" i="7" s="1"/>
  <c r="CC63" i="7"/>
  <c r="CE63" i="7" s="1"/>
  <c r="CG63" i="7" s="1"/>
  <c r="BE63" i="7"/>
  <c r="BG63" i="7" s="1"/>
  <c r="BI63" i="7" s="1"/>
  <c r="AG63" i="7"/>
  <c r="AI63" i="7" s="1"/>
  <c r="AK63" i="7" s="1"/>
  <c r="AW63" i="7"/>
  <c r="AY63" i="7" s="1"/>
  <c r="BA63" i="7" s="1"/>
  <c r="Y63" i="7"/>
  <c r="AA63" i="7" s="1"/>
  <c r="AC63" i="7" s="1"/>
  <c r="AO63" i="7"/>
  <c r="AQ63" i="7" s="1"/>
  <c r="AS63" i="7" s="1"/>
  <c r="CK63" i="7"/>
  <c r="CM63" i="7" s="1"/>
  <c r="CO63" i="7" s="1"/>
  <c r="Q63" i="7"/>
  <c r="S63" i="7" s="1"/>
  <c r="U63" i="7" s="1"/>
  <c r="BM63" i="7"/>
  <c r="BO63" i="7" s="1"/>
  <c r="BQ63" i="7" s="1"/>
  <c r="CC74" i="7"/>
  <c r="BM74" i="7"/>
  <c r="AW74" i="7"/>
  <c r="AG74" i="7"/>
  <c r="Q74" i="7"/>
  <c r="AO74" i="7"/>
  <c r="CK74" i="7"/>
  <c r="Y74" i="7"/>
  <c r="BU74" i="7"/>
  <c r="BE74" i="7"/>
  <c r="BE50" i="7"/>
  <c r="AG50" i="7"/>
  <c r="BU50" i="7"/>
  <c r="AW50" i="7"/>
  <c r="BM50" i="7"/>
  <c r="AO50" i="7"/>
  <c r="CK50" i="7"/>
  <c r="Y50" i="7"/>
  <c r="CC50" i="7"/>
  <c r="Q50" i="7"/>
  <c r="Q67" i="7"/>
  <c r="S67" i="7" s="1"/>
  <c r="U67" i="7" s="1"/>
  <c r="J75" i="6"/>
  <c r="M76" i="6"/>
  <c r="AO70" i="7"/>
  <c r="AQ70" i="7" s="1"/>
  <c r="AS70" i="7" s="1"/>
  <c r="K78" i="6"/>
  <c r="L81" i="6"/>
  <c r="CC67" i="7"/>
  <c r="CE67" i="7" s="1"/>
  <c r="CG67" i="7" s="1"/>
  <c r="J83" i="6"/>
  <c r="M84" i="6"/>
  <c r="G95" i="6"/>
  <c r="L96" i="6"/>
  <c r="C99" i="6"/>
  <c r="K99" i="6"/>
  <c r="BE69" i="7"/>
  <c r="BG69" i="7" s="1"/>
  <c r="BI69" i="7" s="1"/>
  <c r="AG69" i="7"/>
  <c r="AI69" i="7" s="1"/>
  <c r="AK69" i="7" s="1"/>
  <c r="BU69" i="7"/>
  <c r="BW69" i="7" s="1"/>
  <c r="BY69" i="7" s="1"/>
  <c r="AW69" i="7"/>
  <c r="AY69" i="7" s="1"/>
  <c r="BA69" i="7" s="1"/>
  <c r="AO69" i="7"/>
  <c r="AQ69" i="7" s="1"/>
  <c r="AS69" i="7" s="1"/>
  <c r="CC69" i="7"/>
  <c r="CE69" i="7" s="1"/>
  <c r="CG69" i="7" s="1"/>
  <c r="Q69" i="7"/>
  <c r="S69" i="7" s="1"/>
  <c r="U69" i="7" s="1"/>
  <c r="CK69" i="7"/>
  <c r="CM69" i="7" s="1"/>
  <c r="CO69" i="7" s="1"/>
  <c r="BM69" i="7"/>
  <c r="BO69" i="7" s="1"/>
  <c r="BQ69" i="7" s="1"/>
  <c r="Y69" i="7"/>
  <c r="AA69" i="7" s="1"/>
  <c r="AC69" i="7" s="1"/>
  <c r="C101" i="9"/>
  <c r="K104" i="9"/>
  <c r="N105" i="9"/>
  <c r="O106" i="9"/>
  <c r="F120" i="9"/>
  <c r="P121" i="9"/>
  <c r="H123" i="9"/>
  <c r="D125" i="9"/>
  <c r="F128" i="9"/>
  <c r="N20" i="5"/>
  <c r="D71" i="5"/>
  <c r="E71" i="5" s="1"/>
  <c r="D103" i="5"/>
  <c r="E103" i="5" s="1"/>
  <c r="G124" i="5"/>
  <c r="N414" i="5"/>
  <c r="N430" i="5"/>
  <c r="N462" i="5"/>
  <c r="M474" i="5"/>
  <c r="N474" i="5" s="1"/>
  <c r="N461" i="5"/>
  <c r="M475" i="5"/>
  <c r="N475" i="5" s="1"/>
  <c r="F627" i="5"/>
  <c r="H648" i="5"/>
  <c r="C94" i="6"/>
  <c r="M104" i="9"/>
  <c r="O105" i="9"/>
  <c r="H120" i="9"/>
  <c r="H128" i="9"/>
  <c r="G386" i="5"/>
  <c r="G382" i="5"/>
  <c r="G378" i="5"/>
  <c r="G385" i="5"/>
  <c r="G381" i="5"/>
  <c r="G384" i="5"/>
  <c r="G380" i="5"/>
  <c r="D401" i="5"/>
  <c r="E401" i="5" s="1"/>
  <c r="D652" i="5"/>
  <c r="H684" i="5"/>
  <c r="E106" i="9"/>
  <c r="K106" i="9"/>
  <c r="E47" i="5"/>
  <c r="E50" i="5"/>
  <c r="F636" i="5"/>
  <c r="F628" i="5"/>
  <c r="F642" i="5"/>
  <c r="F634" i="5"/>
  <c r="F626" i="5"/>
  <c r="D197" i="5"/>
  <c r="E197" i="5" s="1"/>
  <c r="D189" i="5"/>
  <c r="E189" i="5" s="1"/>
  <c r="D181" i="5"/>
  <c r="E181" i="5" s="1"/>
  <c r="D173" i="5"/>
  <c r="E173" i="5" s="1"/>
  <c r="D165" i="5"/>
  <c r="E165" i="5" s="1"/>
  <c r="D157" i="5"/>
  <c r="E157" i="5" s="1"/>
  <c r="D149" i="5"/>
  <c r="E149" i="5" s="1"/>
  <c r="D141" i="5"/>
  <c r="E141" i="5" s="1"/>
  <c r="D200" i="5"/>
  <c r="E200" i="5" s="1"/>
  <c r="D192" i="5"/>
  <c r="E192" i="5" s="1"/>
  <c r="D184" i="5"/>
  <c r="E184" i="5" s="1"/>
  <c r="D176" i="5"/>
  <c r="E176" i="5" s="1"/>
  <c r="D168" i="5"/>
  <c r="E168" i="5" s="1"/>
  <c r="D160" i="5"/>
  <c r="E160" i="5" s="1"/>
  <c r="D152" i="5"/>
  <c r="E152" i="5" s="1"/>
  <c r="D144" i="5"/>
  <c r="E144" i="5" s="1"/>
  <c r="G127" i="5"/>
  <c r="G123" i="5"/>
  <c r="G119" i="5"/>
  <c r="F629" i="5"/>
  <c r="D195" i="5"/>
  <c r="E195" i="5" s="1"/>
  <c r="D187" i="5"/>
  <c r="E187" i="5" s="1"/>
  <c r="D179" i="5"/>
  <c r="E179" i="5" s="1"/>
  <c r="D171" i="5"/>
  <c r="E171" i="5" s="1"/>
  <c r="D163" i="5"/>
  <c r="E163" i="5" s="1"/>
  <c r="D155" i="5"/>
  <c r="E155" i="5" s="1"/>
  <c r="D147" i="5"/>
  <c r="E147" i="5" s="1"/>
  <c r="D198" i="5"/>
  <c r="E198" i="5" s="1"/>
  <c r="D190" i="5"/>
  <c r="E190" i="5" s="1"/>
  <c r="D182" i="5"/>
  <c r="E182" i="5" s="1"/>
  <c r="D174" i="5"/>
  <c r="E174" i="5" s="1"/>
  <c r="D166" i="5"/>
  <c r="E166" i="5" s="1"/>
  <c r="D158" i="5"/>
  <c r="E158" i="5" s="1"/>
  <c r="D150" i="5"/>
  <c r="E150" i="5" s="1"/>
  <c r="D142" i="5"/>
  <c r="E142" i="5" s="1"/>
  <c r="G126" i="5"/>
  <c r="G122" i="5"/>
  <c r="G118" i="5"/>
  <c r="F639" i="5"/>
  <c r="D193" i="5"/>
  <c r="E193" i="5" s="1"/>
  <c r="D185" i="5"/>
  <c r="E185" i="5" s="1"/>
  <c r="D177" i="5"/>
  <c r="E177" i="5" s="1"/>
  <c r="D169" i="5"/>
  <c r="E169" i="5" s="1"/>
  <c r="D161" i="5"/>
  <c r="E161" i="5" s="1"/>
  <c r="D153" i="5"/>
  <c r="E153" i="5" s="1"/>
  <c r="D145" i="5"/>
  <c r="E145" i="5" s="1"/>
  <c r="F635" i="5"/>
  <c r="D196" i="5"/>
  <c r="E196" i="5" s="1"/>
  <c r="D188" i="5"/>
  <c r="E188" i="5" s="1"/>
  <c r="D180" i="5"/>
  <c r="E180" i="5" s="1"/>
  <c r="D172" i="5"/>
  <c r="E172" i="5" s="1"/>
  <c r="D164" i="5"/>
  <c r="E164" i="5" s="1"/>
  <c r="D156" i="5"/>
  <c r="E156" i="5" s="1"/>
  <c r="D148" i="5"/>
  <c r="E148" i="5" s="1"/>
  <c r="G125" i="5"/>
  <c r="G121" i="5"/>
  <c r="G117" i="5"/>
  <c r="D199" i="5"/>
  <c r="E199" i="5" s="1"/>
  <c r="D191" i="5"/>
  <c r="E191" i="5" s="1"/>
  <c r="D183" i="5"/>
  <c r="E183" i="5" s="1"/>
  <c r="D175" i="5"/>
  <c r="E175" i="5" s="1"/>
  <c r="D167" i="5"/>
  <c r="E167" i="5" s="1"/>
  <c r="D159" i="5"/>
  <c r="E159" i="5" s="1"/>
  <c r="D151" i="5"/>
  <c r="E151" i="5" s="1"/>
  <c r="D143" i="5"/>
  <c r="E143" i="5" s="1"/>
  <c r="N221" i="5"/>
  <c r="N217" i="5"/>
  <c r="N213" i="5"/>
  <c r="N220" i="5"/>
  <c r="N216" i="5"/>
  <c r="R774" i="5"/>
  <c r="R766" i="5"/>
  <c r="R758" i="5"/>
  <c r="N552" i="5"/>
  <c r="R740" i="5"/>
  <c r="R732" i="5"/>
  <c r="N551" i="5"/>
  <c r="M564" i="5"/>
  <c r="N550" i="5"/>
  <c r="D690" i="5"/>
  <c r="R786" i="5"/>
  <c r="N120" i="5"/>
  <c r="G216" i="5"/>
  <c r="G220" i="5"/>
  <c r="H723" i="5"/>
  <c r="H719" i="5"/>
  <c r="H715" i="5"/>
  <c r="H711" i="5"/>
  <c r="H724" i="5"/>
  <c r="H720" i="5"/>
  <c r="H716" i="5"/>
  <c r="H712" i="5"/>
  <c r="H708" i="5"/>
  <c r="H722" i="5"/>
  <c r="H713" i="5"/>
  <c r="H705" i="5"/>
  <c r="H701" i="5"/>
  <c r="H697" i="5"/>
  <c r="H693" i="5"/>
  <c r="H689" i="5"/>
  <c r="H685" i="5"/>
  <c r="H681" i="5"/>
  <c r="H677" i="5"/>
  <c r="H673" i="5"/>
  <c r="H669" i="5"/>
  <c r="H665" i="5"/>
  <c r="H661" i="5"/>
  <c r="H657" i="5"/>
  <c r="H653" i="5"/>
  <c r="H649" i="5"/>
  <c r="H645" i="5"/>
  <c r="H641" i="5"/>
  <c r="H637" i="5"/>
  <c r="H633" i="5"/>
  <c r="H629" i="5"/>
  <c r="H725" i="5"/>
  <c r="H718" i="5"/>
  <c r="H709" i="5"/>
  <c r="H706" i="5"/>
  <c r="H702" i="5"/>
  <c r="H698" i="5"/>
  <c r="H694" i="5"/>
  <c r="H690" i="5"/>
  <c r="H686" i="5"/>
  <c r="H682" i="5"/>
  <c r="H678" i="5"/>
  <c r="H674" i="5"/>
  <c r="H721" i="5"/>
  <c r="H714" i="5"/>
  <c r="H703" i="5"/>
  <c r="H699" i="5"/>
  <c r="H695" i="5"/>
  <c r="H691" i="5"/>
  <c r="H687" i="5"/>
  <c r="H683" i="5"/>
  <c r="H679" i="5"/>
  <c r="H675" i="5"/>
  <c r="H671" i="5"/>
  <c r="H667" i="5"/>
  <c r="H663" i="5"/>
  <c r="H659" i="5"/>
  <c r="H655" i="5"/>
  <c r="H651" i="5"/>
  <c r="H647" i="5"/>
  <c r="H643" i="5"/>
  <c r="H639" i="5"/>
  <c r="H635" i="5"/>
  <c r="H631" i="5"/>
  <c r="H627" i="5"/>
  <c r="D242" i="5"/>
  <c r="E242" i="5" s="1"/>
  <c r="D250" i="5"/>
  <c r="E250" i="5" s="1"/>
  <c r="D258" i="5"/>
  <c r="E258" i="5" s="1"/>
  <c r="D266" i="5"/>
  <c r="E266" i="5" s="1"/>
  <c r="D274" i="5"/>
  <c r="E274" i="5" s="1"/>
  <c r="D282" i="5"/>
  <c r="E282" i="5" s="1"/>
  <c r="D290" i="5"/>
  <c r="E290" i="5" s="1"/>
  <c r="G344" i="5" a="1"/>
  <c r="G344" i="5" s="1"/>
  <c r="D365" i="5"/>
  <c r="E365" i="5" s="1"/>
  <c r="G461" i="5"/>
  <c r="G507" i="5"/>
  <c r="H634" i="5"/>
  <c r="H652" i="5"/>
  <c r="H666" i="5"/>
  <c r="C733" i="5"/>
  <c r="C734" i="5" s="1"/>
  <c r="C735" i="5" s="1"/>
  <c r="C736" i="5" s="1"/>
  <c r="C737" i="5" s="1"/>
  <c r="C738" i="5" s="1"/>
  <c r="C739" i="5" s="1"/>
  <c r="C740" i="5" s="1"/>
  <c r="C741" i="5" s="1"/>
  <c r="C742" i="5" s="1"/>
  <c r="C743" i="5" s="1"/>
  <c r="C744" i="5" s="1"/>
  <c r="C745" i="5" s="1"/>
  <c r="C746" i="5" s="1"/>
  <c r="C747" i="5" s="1"/>
  <c r="C748" i="5" s="1"/>
  <c r="C749" i="5" s="1"/>
  <c r="C750" i="5" s="1"/>
  <c r="C751" i="5" s="1"/>
  <c r="C752" i="5" s="1"/>
  <c r="C753" i="5" s="1"/>
  <c r="C754" i="5" s="1"/>
  <c r="C755" i="5" s="1"/>
  <c r="C756" i="5" s="1"/>
  <c r="C757" i="5" s="1"/>
  <c r="C758" i="5" s="1"/>
  <c r="C759" i="5" s="1"/>
  <c r="C760" i="5" s="1"/>
  <c r="C761" i="5" s="1"/>
  <c r="C762" i="5" s="1"/>
  <c r="C763" i="5" s="1"/>
  <c r="C764" i="5" s="1"/>
  <c r="C765" i="5" s="1"/>
  <c r="C766" i="5" s="1"/>
  <c r="C767" i="5" s="1"/>
  <c r="C768" i="5" s="1"/>
  <c r="C769" i="5" s="1"/>
  <c r="C770" i="5" s="1"/>
  <c r="C771" i="5" s="1"/>
  <c r="C772" i="5" s="1"/>
  <c r="C773" i="5" s="1"/>
  <c r="C774" i="5" s="1"/>
  <c r="C775" i="5" s="1"/>
  <c r="C776" i="5" s="1"/>
  <c r="C777" i="5" s="1"/>
  <c r="C778" i="5" s="1"/>
  <c r="C779" i="5" s="1"/>
  <c r="C780" i="5" s="1"/>
  <c r="C781" i="5" s="1"/>
  <c r="C782" i="5" s="1"/>
  <c r="C783" i="5" s="1"/>
  <c r="C784" i="5" s="1"/>
  <c r="C785" i="5" s="1"/>
  <c r="C786" i="5" s="1"/>
  <c r="C787" i="5" s="1"/>
  <c r="C788" i="5" s="1"/>
  <c r="C789" i="5" s="1"/>
  <c r="C790" i="5" s="1"/>
  <c r="C791" i="5" s="1"/>
  <c r="C792" i="5" s="1"/>
  <c r="C793" i="5" s="1"/>
  <c r="C794" i="5" s="1"/>
  <c r="C795" i="5" s="1"/>
  <c r="C796" i="5" s="1"/>
  <c r="C797" i="5" s="1"/>
  <c r="C798" i="5" s="1"/>
  <c r="C799" i="5" s="1"/>
  <c r="C800" i="5" s="1"/>
  <c r="C801" i="5" s="1"/>
  <c r="C802" i="5" s="1"/>
  <c r="C803" i="5" s="1"/>
  <c r="C804" i="5" s="1"/>
  <c r="C805" i="5" s="1"/>
  <c r="C806" i="5" s="1"/>
  <c r="C807" i="5" s="1"/>
  <c r="C808" i="5" s="1"/>
  <c r="C809" i="5" s="1"/>
  <c r="C810" i="5" s="1"/>
  <c r="C811" i="5" s="1"/>
  <c r="C812" i="5" s="1"/>
  <c r="C813" i="5" s="1"/>
  <c r="C814" i="5" s="1"/>
  <c r="C815" i="5" s="1"/>
  <c r="C816" i="5" s="1"/>
  <c r="C817" i="5" s="1"/>
  <c r="C818" i="5" s="1"/>
  <c r="C819" i="5" s="1"/>
  <c r="C820" i="5" s="1"/>
  <c r="C821" i="5" s="1"/>
  <c r="C822" i="5" s="1"/>
  <c r="C823" i="5" s="1"/>
  <c r="C824" i="5" s="1"/>
  <c r="C825" i="5" s="1"/>
  <c r="C826" i="5" s="1"/>
  <c r="C827" i="5" s="1"/>
  <c r="C828" i="5" s="1"/>
  <c r="C829" i="5" s="1"/>
  <c r="C830" i="5" s="1"/>
  <c r="C831" i="5" s="1"/>
  <c r="C832" i="5" s="1"/>
  <c r="Q733" i="5"/>
  <c r="Q734" i="5" s="1"/>
  <c r="Q735" i="5" s="1"/>
  <c r="Q736" i="5" s="1"/>
  <c r="Q737" i="5" s="1"/>
  <c r="Q738" i="5" s="1"/>
  <c r="Q739" i="5" s="1"/>
  <c r="Q740" i="5" s="1"/>
  <c r="Q741" i="5" s="1"/>
  <c r="Q742" i="5" s="1"/>
  <c r="Q743" i="5" s="1"/>
  <c r="Q744" i="5" s="1"/>
  <c r="Q745" i="5" s="1"/>
  <c r="Q746" i="5" s="1"/>
  <c r="Q747" i="5" s="1"/>
  <c r="Q748" i="5" s="1"/>
  <c r="Q749" i="5" s="1"/>
  <c r="Q750" i="5" s="1"/>
  <c r="Q751" i="5" s="1"/>
  <c r="Q752" i="5" s="1"/>
  <c r="Q753" i="5" s="1"/>
  <c r="Q754" i="5" s="1"/>
  <c r="Q755" i="5" s="1"/>
  <c r="Q756" i="5" s="1"/>
  <c r="Q757" i="5" s="1"/>
  <c r="Q758" i="5" s="1"/>
  <c r="Q759" i="5" s="1"/>
  <c r="Q760" i="5" s="1"/>
  <c r="Q761" i="5" s="1"/>
  <c r="Q762" i="5" s="1"/>
  <c r="Q763" i="5" s="1"/>
  <c r="Q764" i="5" s="1"/>
  <c r="Q765" i="5" s="1"/>
  <c r="Q766" i="5" s="1"/>
  <c r="Q767" i="5" s="1"/>
  <c r="Q768" i="5" s="1"/>
  <c r="Q769" i="5" s="1"/>
  <c r="Q770" i="5" s="1"/>
  <c r="Q771" i="5" s="1"/>
  <c r="Q772" i="5" s="1"/>
  <c r="Q773" i="5" s="1"/>
  <c r="Q774" i="5" s="1"/>
  <c r="Q775" i="5" s="1"/>
  <c r="Q776" i="5" s="1"/>
  <c r="Q777" i="5" s="1"/>
  <c r="Q778" i="5" s="1"/>
  <c r="Q779" i="5" s="1"/>
  <c r="Q780" i="5" s="1"/>
  <c r="Q781" i="5" s="1"/>
  <c r="Q782" i="5" s="1"/>
  <c r="Q783" i="5" s="1"/>
  <c r="Q784" i="5" s="1"/>
  <c r="Q785" i="5" s="1"/>
  <c r="Q786" i="5" s="1"/>
  <c r="Q787" i="5" s="1"/>
  <c r="Q788" i="5" s="1"/>
  <c r="Q789" i="5" s="1"/>
  <c r="Q790" i="5" s="1"/>
  <c r="Q791" i="5" s="1"/>
  <c r="Q792" i="5" s="1"/>
  <c r="Q793" i="5" s="1"/>
  <c r="Q794" i="5" s="1"/>
  <c r="Q795" i="5" s="1"/>
  <c r="Q796" i="5" s="1"/>
  <c r="Q797" i="5" s="1"/>
  <c r="Q798" i="5" s="1"/>
  <c r="Q799" i="5" s="1"/>
  <c r="Q800" i="5" s="1"/>
  <c r="Q801" i="5" s="1"/>
  <c r="Q802" i="5" s="1"/>
  <c r="Q803" i="5" s="1"/>
  <c r="Q804" i="5" s="1"/>
  <c r="Q805" i="5" s="1"/>
  <c r="Q806" i="5" s="1"/>
  <c r="Q807" i="5" s="1"/>
  <c r="Q808" i="5" s="1"/>
  <c r="Q809" i="5" s="1"/>
  <c r="Q810" i="5" s="1"/>
  <c r="Q811" i="5" s="1"/>
  <c r="Q812" i="5" s="1"/>
  <c r="Q813" i="5" s="1"/>
  <c r="Q814" i="5" s="1"/>
  <c r="Q815" i="5" s="1"/>
  <c r="Q816" i="5" s="1"/>
  <c r="Q817" i="5" s="1"/>
  <c r="Q818" i="5" s="1"/>
  <c r="Q819" i="5" s="1"/>
  <c r="Q820" i="5" s="1"/>
  <c r="Q821" i="5" s="1"/>
  <c r="Q822" i="5" s="1"/>
  <c r="Q823" i="5" s="1"/>
  <c r="Q824" i="5" s="1"/>
  <c r="Q825" i="5" s="1"/>
  <c r="Q826" i="5" s="1"/>
  <c r="Q827" i="5" s="1"/>
  <c r="Q828" i="5" s="1"/>
  <c r="Q829" i="5" s="1"/>
  <c r="Q830" i="5" s="1"/>
  <c r="Q831" i="5" s="1"/>
  <c r="Q832" i="5" s="1"/>
  <c r="R832" i="5" s="1"/>
  <c r="D239" i="5"/>
  <c r="E239" i="5" s="1"/>
  <c r="D247" i="5"/>
  <c r="E247" i="5" s="1"/>
  <c r="D255" i="5"/>
  <c r="E255" i="5" s="1"/>
  <c r="D263" i="5"/>
  <c r="E263" i="5" s="1"/>
  <c r="D271" i="5"/>
  <c r="E271" i="5" s="1"/>
  <c r="D279" i="5"/>
  <c r="E279" i="5" s="1"/>
  <c r="D287" i="5"/>
  <c r="E287" i="5" s="1"/>
  <c r="D295" i="5"/>
  <c r="E295" i="5" s="1"/>
  <c r="N564" i="5"/>
  <c r="G605" i="5"/>
  <c r="G599" i="5"/>
  <c r="G595" i="5"/>
  <c r="D617" i="5"/>
  <c r="E617" i="5" s="1"/>
  <c r="H638" i="5"/>
  <c r="H656" i="5"/>
  <c r="H670" i="5"/>
  <c r="H680" i="5"/>
  <c r="H696" i="5"/>
  <c r="N117" i="5"/>
  <c r="N121" i="5"/>
  <c r="G213" i="5"/>
  <c r="G217" i="5"/>
  <c r="G221" i="5"/>
  <c r="D244" i="5"/>
  <c r="E244" i="5" s="1"/>
  <c r="D252" i="5"/>
  <c r="E252" i="5" s="1"/>
  <c r="D260" i="5"/>
  <c r="E260" i="5" s="1"/>
  <c r="D268" i="5"/>
  <c r="E268" i="5" s="1"/>
  <c r="D276" i="5"/>
  <c r="E276" i="5" s="1"/>
  <c r="D284" i="5"/>
  <c r="E284" i="5" s="1"/>
  <c r="D292" i="5"/>
  <c r="E292" i="5" s="1"/>
  <c r="N344" i="5"/>
  <c r="N348" i="5"/>
  <c r="G600" i="5"/>
  <c r="H628" i="5"/>
  <c r="H642" i="5"/>
  <c r="H660" i="5"/>
  <c r="H707" i="5"/>
  <c r="D241" i="5"/>
  <c r="E241" i="5" s="1"/>
  <c r="D249" i="5"/>
  <c r="E249" i="5" s="1"/>
  <c r="D257" i="5"/>
  <c r="E257" i="5" s="1"/>
  <c r="D265" i="5"/>
  <c r="E265" i="5" s="1"/>
  <c r="D273" i="5"/>
  <c r="E273" i="5" s="1"/>
  <c r="D281" i="5"/>
  <c r="E281" i="5" s="1"/>
  <c r="D289" i="5"/>
  <c r="E289" i="5" s="1"/>
  <c r="N831" i="5"/>
  <c r="N828" i="5"/>
  <c r="N823" i="5"/>
  <c r="N820" i="5"/>
  <c r="N812" i="5"/>
  <c r="N807" i="5"/>
  <c r="N804" i="5"/>
  <c r="N799" i="5"/>
  <c r="N796" i="5"/>
  <c r="N785" i="5"/>
  <c r="N791" i="5"/>
  <c r="N778" i="5"/>
  <c r="N773" i="5"/>
  <c r="N770" i="5"/>
  <c r="N762" i="5"/>
  <c r="N759" i="5"/>
  <c r="N754" i="5"/>
  <c r="N751" i="5"/>
  <c r="N743" i="5"/>
  <c r="N738" i="5"/>
  <c r="N735" i="5"/>
  <c r="N732" i="5"/>
  <c r="N760" i="5"/>
  <c r="N765" i="5"/>
  <c r="F520" i="5"/>
  <c r="G520" i="5" s="1"/>
  <c r="G551" i="5"/>
  <c r="G596" i="5"/>
  <c r="H632" i="5"/>
  <c r="H646" i="5"/>
  <c r="H664" i="5"/>
  <c r="H676" i="5"/>
  <c r="H692" i="5"/>
  <c r="N118" i="5"/>
  <c r="N122" i="5"/>
  <c r="G214" i="5"/>
  <c r="G218" i="5"/>
  <c r="G222" i="5"/>
  <c r="D238" i="5"/>
  <c r="E238" i="5" s="1"/>
  <c r="D246" i="5"/>
  <c r="E246" i="5" s="1"/>
  <c r="D254" i="5"/>
  <c r="E254" i="5" s="1"/>
  <c r="D262" i="5"/>
  <c r="E262" i="5" s="1"/>
  <c r="D270" i="5"/>
  <c r="E270" i="5" s="1"/>
  <c r="D278" i="5"/>
  <c r="E278" i="5" s="1"/>
  <c r="D286" i="5"/>
  <c r="E286" i="5" s="1"/>
  <c r="D294" i="5"/>
  <c r="E294" i="5" s="1"/>
  <c r="N345" i="5"/>
  <c r="N349" i="5"/>
  <c r="N381" i="5"/>
  <c r="H735" i="5"/>
  <c r="H732" i="5"/>
  <c r="G505" i="5"/>
  <c r="F565" i="5"/>
  <c r="G565" i="5" s="1"/>
  <c r="G601" i="5"/>
  <c r="H636" i="5"/>
  <c r="H650" i="5"/>
  <c r="H668" i="5"/>
  <c r="N214" i="5"/>
  <c r="N218" i="5"/>
  <c r="D243" i="5"/>
  <c r="E243" i="5" s="1"/>
  <c r="D251" i="5"/>
  <c r="E251" i="5" s="1"/>
  <c r="D259" i="5"/>
  <c r="E259" i="5" s="1"/>
  <c r="D267" i="5"/>
  <c r="E267" i="5" s="1"/>
  <c r="D275" i="5"/>
  <c r="E275" i="5" s="1"/>
  <c r="D283" i="5"/>
  <c r="E283" i="5" s="1"/>
  <c r="D291" i="5"/>
  <c r="E291" i="5" s="1"/>
  <c r="G346" i="5"/>
  <c r="J732" i="5"/>
  <c r="F475" i="5"/>
  <c r="G475" i="5" s="1"/>
  <c r="N505" i="5"/>
  <c r="F519" i="5"/>
  <c r="G519" i="5" s="1"/>
  <c r="G552" i="5"/>
  <c r="G597" i="5"/>
  <c r="D618" i="5"/>
  <c r="E618" i="5" s="1"/>
  <c r="H640" i="5"/>
  <c r="H654" i="5"/>
  <c r="H672" i="5"/>
  <c r="H688" i="5"/>
  <c r="H704" i="5"/>
  <c r="H710" i="5"/>
  <c r="H717" i="5"/>
  <c r="L732" i="5"/>
  <c r="J735" i="5"/>
  <c r="D240" i="5"/>
  <c r="E240" i="5" s="1"/>
  <c r="D248" i="5"/>
  <c r="E248" i="5" s="1"/>
  <c r="D256" i="5"/>
  <c r="E256" i="5" s="1"/>
  <c r="D264" i="5"/>
  <c r="E264" i="5" s="1"/>
  <c r="D272" i="5"/>
  <c r="E272" i="5" s="1"/>
  <c r="D280" i="5"/>
  <c r="E280" i="5" s="1"/>
  <c r="D288" i="5"/>
  <c r="E288" i="5" s="1"/>
  <c r="N378" i="5"/>
  <c r="D829" i="5"/>
  <c r="D827" i="5"/>
  <c r="D825" i="5"/>
  <c r="D819" i="5"/>
  <c r="D818" i="5"/>
  <c r="D817" i="5"/>
  <c r="D820" i="5"/>
  <c r="D811" i="5"/>
  <c r="D809" i="5"/>
  <c r="D807" i="5"/>
  <c r="D805" i="5"/>
  <c r="D832" i="5"/>
  <c r="D815" i="5"/>
  <c r="D804" i="5"/>
  <c r="D821" i="5"/>
  <c r="D816" i="5"/>
  <c r="D806" i="5"/>
  <c r="D803" i="5"/>
  <c r="D799" i="5"/>
  <c r="D796" i="5"/>
  <c r="D794" i="5"/>
  <c r="D790" i="5"/>
  <c r="D788" i="5"/>
  <c r="D828" i="5"/>
  <c r="D810" i="5"/>
  <c r="D802" i="5"/>
  <c r="D798" i="5"/>
  <c r="D812" i="5"/>
  <c r="D801" i="5"/>
  <c r="D797" i="5"/>
  <c r="D795" i="5"/>
  <c r="D793" i="5"/>
  <c r="D791" i="5"/>
  <c r="D789" i="5"/>
  <c r="D782" i="5"/>
  <c r="D778" i="5"/>
  <c r="D776" i="5"/>
  <c r="D774" i="5"/>
  <c r="D772" i="5"/>
  <c r="D770" i="5"/>
  <c r="D768" i="5"/>
  <c r="D787" i="5"/>
  <c r="D766" i="5"/>
  <c r="D762" i="5"/>
  <c r="D823" i="5"/>
  <c r="D814" i="5"/>
  <c r="D786" i="5"/>
  <c r="D783" i="5"/>
  <c r="D781" i="5"/>
  <c r="D777" i="5"/>
  <c r="D775" i="5"/>
  <c r="D773" i="5"/>
  <c r="D771" i="5"/>
  <c r="D769" i="5"/>
  <c r="D767" i="5"/>
  <c r="D759" i="5"/>
  <c r="D758" i="5"/>
  <c r="D757" i="5"/>
  <c r="D756" i="5"/>
  <c r="D755" i="5"/>
  <c r="D754" i="5"/>
  <c r="D753" i="5"/>
  <c r="D752" i="5"/>
  <c r="D751" i="5"/>
  <c r="D750" i="5"/>
  <c r="D749" i="5"/>
  <c r="D808" i="5"/>
  <c r="D764" i="5"/>
  <c r="D760" i="5"/>
  <c r="D765" i="5"/>
  <c r="D763" i="5"/>
  <c r="D748" i="5"/>
  <c r="D747" i="5"/>
  <c r="D746" i="5"/>
  <c r="D745" i="5"/>
  <c r="D744" i="5"/>
  <c r="D743" i="5"/>
  <c r="D742" i="5"/>
  <c r="D741" i="5"/>
  <c r="D740" i="5"/>
  <c r="D739" i="5"/>
  <c r="D738" i="5"/>
  <c r="D737" i="5"/>
  <c r="D736" i="5"/>
  <c r="D735" i="5"/>
  <c r="D734" i="5"/>
  <c r="D733" i="5"/>
  <c r="D800" i="5"/>
  <c r="D761" i="5"/>
  <c r="D732" i="5"/>
  <c r="G460" i="5"/>
  <c r="G506" i="5"/>
  <c r="M520" i="5"/>
  <c r="N520" i="5" s="1"/>
  <c r="G602" i="5"/>
  <c r="H626" i="5"/>
  <c r="H644" i="5"/>
  <c r="H658" i="5"/>
  <c r="O733" i="5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AG75" i="7" a="1"/>
  <c r="CK75" i="7" a="1"/>
  <c r="BE75" i="7" a="1"/>
  <c r="G617" i="5"/>
  <c r="P732" i="5"/>
  <c r="K733" i="5"/>
  <c r="K734" i="5" s="1"/>
  <c r="K735" i="5" s="1"/>
  <c r="K736" i="5" s="1"/>
  <c r="K737" i="5" s="1"/>
  <c r="K738" i="5" s="1"/>
  <c r="K739" i="5" s="1"/>
  <c r="K740" i="5" s="1"/>
  <c r="K741" i="5" s="1"/>
  <c r="K742" i="5" s="1"/>
  <c r="K743" i="5" s="1"/>
  <c r="K744" i="5" s="1"/>
  <c r="K745" i="5" s="1"/>
  <c r="K746" i="5" s="1"/>
  <c r="K747" i="5" s="1"/>
  <c r="K748" i="5" s="1"/>
  <c r="K749" i="5" s="1"/>
  <c r="K750" i="5" s="1"/>
  <c r="K751" i="5" s="1"/>
  <c r="K752" i="5" s="1"/>
  <c r="K753" i="5" s="1"/>
  <c r="K754" i="5" s="1"/>
  <c r="K755" i="5" s="1"/>
  <c r="K756" i="5" s="1"/>
  <c r="K757" i="5" s="1"/>
  <c r="K758" i="5" s="1"/>
  <c r="K759" i="5" s="1"/>
  <c r="K760" i="5" s="1"/>
  <c r="K761" i="5" s="1"/>
  <c r="K762" i="5" s="1"/>
  <c r="K763" i="5" s="1"/>
  <c r="K764" i="5" s="1"/>
  <c r="K765" i="5" s="1"/>
  <c r="K766" i="5" s="1"/>
  <c r="K767" i="5" s="1"/>
  <c r="K768" i="5" s="1"/>
  <c r="K769" i="5" s="1"/>
  <c r="K770" i="5" s="1"/>
  <c r="K771" i="5" s="1"/>
  <c r="K772" i="5" s="1"/>
  <c r="K773" i="5" s="1"/>
  <c r="K774" i="5" s="1"/>
  <c r="K775" i="5" s="1"/>
  <c r="K776" i="5" s="1"/>
  <c r="K777" i="5" s="1"/>
  <c r="K778" i="5" s="1"/>
  <c r="K779" i="5" s="1"/>
  <c r="K780" i="5" s="1"/>
  <c r="K781" i="5" s="1"/>
  <c r="K782" i="5" s="1"/>
  <c r="K783" i="5" s="1"/>
  <c r="K784" i="5" s="1"/>
  <c r="K785" i="5" s="1"/>
  <c r="K786" i="5" s="1"/>
  <c r="K787" i="5" s="1"/>
  <c r="K788" i="5" s="1"/>
  <c r="K789" i="5" s="1"/>
  <c r="K790" i="5" s="1"/>
  <c r="K791" i="5" s="1"/>
  <c r="K792" i="5" s="1"/>
  <c r="K793" i="5" s="1"/>
  <c r="K794" i="5" s="1"/>
  <c r="K795" i="5" s="1"/>
  <c r="K796" i="5" s="1"/>
  <c r="K797" i="5" s="1"/>
  <c r="K798" i="5" s="1"/>
  <c r="K799" i="5" s="1"/>
  <c r="K800" i="5" s="1"/>
  <c r="K801" i="5" s="1"/>
  <c r="K802" i="5" s="1"/>
  <c r="K803" i="5" s="1"/>
  <c r="K804" i="5" s="1"/>
  <c r="K805" i="5" s="1"/>
  <c r="K806" i="5" s="1"/>
  <c r="K807" i="5" s="1"/>
  <c r="K808" i="5" s="1"/>
  <c r="K809" i="5" s="1"/>
  <c r="K810" i="5" s="1"/>
  <c r="K811" i="5" s="1"/>
  <c r="K812" i="5" s="1"/>
  <c r="K813" i="5" s="1"/>
  <c r="K814" i="5" s="1"/>
  <c r="K815" i="5" s="1"/>
  <c r="K816" i="5" s="1"/>
  <c r="K817" i="5" s="1"/>
  <c r="K818" i="5" s="1"/>
  <c r="K819" i="5" s="1"/>
  <c r="K820" i="5" s="1"/>
  <c r="K821" i="5" s="1"/>
  <c r="K822" i="5" s="1"/>
  <c r="K823" i="5" s="1"/>
  <c r="K824" i="5" s="1"/>
  <c r="K825" i="5" s="1"/>
  <c r="K826" i="5" s="1"/>
  <c r="K827" i="5" s="1"/>
  <c r="K828" i="5" s="1"/>
  <c r="K829" i="5" s="1"/>
  <c r="K830" i="5" s="1"/>
  <c r="K831" i="5" s="1"/>
  <c r="K832" i="5" s="1"/>
  <c r="L832" i="5" s="1"/>
  <c r="AK65" i="7"/>
  <c r="AK64" i="7"/>
  <c r="S20" i="7"/>
  <c r="U20" i="7" s="1"/>
  <c r="BI64" i="7"/>
  <c r="BI68" i="7"/>
  <c r="AC66" i="7"/>
  <c r="BQ66" i="7"/>
  <c r="AS64" i="7"/>
  <c r="CG64" i="7"/>
  <c r="BA64" i="7"/>
  <c r="CG65" i="7"/>
  <c r="U68" i="7"/>
  <c r="CO64" i="7"/>
  <c r="AS66" i="7"/>
  <c r="CG66" i="7"/>
  <c r="AC68" i="7"/>
  <c r="U64" i="7"/>
  <c r="U65" i="7"/>
  <c r="CO65" i="7"/>
  <c r="BA66" i="7"/>
  <c r="BQ68" i="7"/>
  <c r="AC65" i="7"/>
  <c r="CO66" i="7"/>
  <c r="S23" i="7"/>
  <c r="U23" i="7" s="1"/>
  <c r="CG68" i="7"/>
  <c r="U66" i="7"/>
  <c r="BY66" i="7"/>
  <c r="BY64" i="7"/>
  <c r="BY68" i="7"/>
  <c r="AS68" i="7"/>
  <c r="BI65" i="7"/>
  <c r="BI66" i="7"/>
  <c r="BA68" i="7"/>
  <c r="CO68" i="7"/>
  <c r="D120" i="7"/>
  <c r="D128" i="7"/>
  <c r="D121" i="7"/>
  <c r="D122" i="7"/>
  <c r="D123" i="7"/>
  <c r="D116" i="7"/>
  <c r="D124" i="7"/>
  <c r="D117" i="7"/>
  <c r="D125" i="7"/>
  <c r="D118" i="7"/>
  <c r="D126" i="7"/>
  <c r="D119" i="7"/>
  <c r="D93" i="6" l="1"/>
  <c r="D100" i="6"/>
  <c r="D95" i="6"/>
  <c r="E95" i="6" s="1"/>
  <c r="E114" i="6" s="1"/>
  <c r="C114" i="6" s="1"/>
  <c r="D92" i="6"/>
  <c r="D94" i="6"/>
  <c r="E94" i="6" s="1"/>
  <c r="E113" i="6" s="1"/>
  <c r="C113" i="6" s="1"/>
  <c r="D101" i="6"/>
  <c r="E101" i="6" s="1"/>
  <c r="E120" i="6" s="1"/>
  <c r="C120" i="6" s="1"/>
  <c r="D96" i="6"/>
  <c r="E96" i="6" s="1"/>
  <c r="E115" i="6" s="1"/>
  <c r="C115" i="6" s="1"/>
  <c r="F134" i="6"/>
  <c r="F135" i="6" s="1"/>
  <c r="BE75" i="7"/>
  <c r="AG75" i="7"/>
  <c r="CK75" i="7"/>
  <c r="G740" i="5"/>
  <c r="H739" i="5"/>
  <c r="E740" i="5"/>
  <c r="F739" i="5"/>
  <c r="I739" i="5"/>
  <c r="J738" i="5"/>
  <c r="J736" i="5"/>
  <c r="L753" i="5"/>
  <c r="P742" i="5"/>
  <c r="L815" i="5"/>
  <c r="F733" i="5"/>
  <c r="H737" i="5"/>
  <c r="F738" i="5"/>
  <c r="H738" i="5"/>
  <c r="P747" i="5"/>
  <c r="F637" i="5"/>
  <c r="F734" i="5"/>
  <c r="H736" i="5"/>
  <c r="P739" i="5"/>
  <c r="E645" i="5"/>
  <c r="F644" i="5"/>
  <c r="M393" i="5" a="1"/>
  <c r="M393" i="5" s="1"/>
  <c r="H733" i="5"/>
  <c r="J737" i="5"/>
  <c r="BM75" i="7" a="1"/>
  <c r="BM75" i="7" s="1"/>
  <c r="CC75" i="7" a="1"/>
  <c r="CC75" i="7" s="1"/>
  <c r="M511" i="5" a="1"/>
  <c r="M511" i="5" s="1"/>
  <c r="H734" i="5"/>
  <c r="J734" i="5"/>
  <c r="J733" i="5"/>
  <c r="F631" i="5"/>
  <c r="F735" i="5"/>
  <c r="R821" i="5"/>
  <c r="F556" i="5" a="1"/>
  <c r="F556" i="5" s="1"/>
  <c r="N746" i="5"/>
  <c r="N781" i="5"/>
  <c r="N815" i="5"/>
  <c r="R827" i="5"/>
  <c r="S19" i="7"/>
  <c r="U19" i="7" s="1"/>
  <c r="S17" i="7"/>
  <c r="U17" i="7" s="1"/>
  <c r="T25" i="7" s="1"/>
  <c r="CC71" i="7" s="1"/>
  <c r="CE71" i="7" s="1"/>
  <c r="CG71" i="7" s="1"/>
  <c r="L738" i="5"/>
  <c r="N744" i="5"/>
  <c r="N763" i="5"/>
  <c r="N771" i="5"/>
  <c r="N793" i="5"/>
  <c r="N797" i="5"/>
  <c r="N805" i="5"/>
  <c r="N813" i="5"/>
  <c r="N821" i="5"/>
  <c r="N829" i="5"/>
  <c r="L796" i="5"/>
  <c r="N761" i="5"/>
  <c r="N736" i="5"/>
  <c r="N752" i="5"/>
  <c r="N779" i="5"/>
  <c r="L756" i="5"/>
  <c r="P766" i="5"/>
  <c r="P745" i="5"/>
  <c r="N786" i="5"/>
  <c r="N737" i="5"/>
  <c r="N745" i="5"/>
  <c r="N753" i="5"/>
  <c r="N784" i="5"/>
  <c r="N772" i="5"/>
  <c r="N780" i="5"/>
  <c r="N795" i="5"/>
  <c r="N798" i="5"/>
  <c r="N806" i="5"/>
  <c r="N814" i="5"/>
  <c r="N822" i="5"/>
  <c r="N830" i="5"/>
  <c r="L787" i="5"/>
  <c r="L813" i="5"/>
  <c r="R789" i="5"/>
  <c r="R782" i="5"/>
  <c r="B216" i="6"/>
  <c r="F466" i="5" a="1"/>
  <c r="F466" i="5" s="1"/>
  <c r="M556" i="5" a="1"/>
  <c r="M556" i="5" s="1"/>
  <c r="M421" i="5" a="1"/>
  <c r="M421" i="5" s="1"/>
  <c r="P764" i="5"/>
  <c r="P750" i="5"/>
  <c r="N764" i="5"/>
  <c r="N747" i="5"/>
  <c r="N766" i="5"/>
  <c r="N782" i="5"/>
  <c r="N800" i="5"/>
  <c r="N816" i="5"/>
  <c r="L774" i="5"/>
  <c r="L736" i="5"/>
  <c r="N740" i="5"/>
  <c r="N748" i="5"/>
  <c r="N756" i="5"/>
  <c r="N767" i="5"/>
  <c r="N775" i="5"/>
  <c r="N783" i="5"/>
  <c r="N790" i="5"/>
  <c r="N801" i="5"/>
  <c r="N809" i="5"/>
  <c r="N817" i="5"/>
  <c r="N825" i="5"/>
  <c r="L733" i="5"/>
  <c r="L816" i="5"/>
  <c r="L780" i="5"/>
  <c r="L825" i="5"/>
  <c r="R783" i="5"/>
  <c r="L767" i="5"/>
  <c r="L762" i="5"/>
  <c r="L810" i="5"/>
  <c r="F229" i="5" a="1"/>
  <c r="F229" i="5" s="1"/>
  <c r="N739" i="5"/>
  <c r="N755" i="5"/>
  <c r="N774" i="5"/>
  <c r="N788" i="5"/>
  <c r="N808" i="5"/>
  <c r="N824" i="5"/>
  <c r="L745" i="5"/>
  <c r="L769" i="5"/>
  <c r="L819" i="5"/>
  <c r="P753" i="5"/>
  <c r="L739" i="5"/>
  <c r="P734" i="5"/>
  <c r="P758" i="5"/>
  <c r="N733" i="5"/>
  <c r="N741" i="5"/>
  <c r="N749" i="5"/>
  <c r="N757" i="5"/>
  <c r="N768" i="5"/>
  <c r="N776" i="5"/>
  <c r="N787" i="5"/>
  <c r="N792" i="5"/>
  <c r="N802" i="5"/>
  <c r="N810" i="5"/>
  <c r="N818" i="5"/>
  <c r="N826" i="5"/>
  <c r="L775" i="5"/>
  <c r="L806" i="5"/>
  <c r="L831" i="5"/>
  <c r="R809" i="5"/>
  <c r="S18" i="7"/>
  <c r="U18" i="7" s="1"/>
  <c r="P737" i="5"/>
  <c r="D785" i="5"/>
  <c r="D779" i="5"/>
  <c r="D784" i="5"/>
  <c r="D780" i="5"/>
  <c r="D822" i="5"/>
  <c r="D792" i="5"/>
  <c r="D826" i="5"/>
  <c r="D813" i="5"/>
  <c r="D831" i="5"/>
  <c r="N734" i="5"/>
  <c r="N742" i="5"/>
  <c r="N750" i="5"/>
  <c r="N758" i="5"/>
  <c r="N769" i="5"/>
  <c r="N777" i="5"/>
  <c r="N789" i="5"/>
  <c r="N794" i="5"/>
  <c r="N803" i="5"/>
  <c r="N811" i="5"/>
  <c r="N819" i="5"/>
  <c r="N827" i="5"/>
  <c r="L748" i="5"/>
  <c r="L765" i="5"/>
  <c r="L830" i="5"/>
  <c r="R757" i="5"/>
  <c r="R824" i="5"/>
  <c r="F633" i="5"/>
  <c r="F632" i="5"/>
  <c r="F630" i="5"/>
  <c r="G235" i="6"/>
  <c r="AM73" i="7" s="1"/>
  <c r="AQ73" i="7" s="1"/>
  <c r="AS73" i="7" s="1"/>
  <c r="AM35" i="7"/>
  <c r="AQ37" i="7" s="1"/>
  <c r="AS37" i="7" s="1"/>
  <c r="F638" i="5"/>
  <c r="F641" i="5"/>
  <c r="F643" i="5"/>
  <c r="F640" i="5"/>
  <c r="K232" i="6"/>
  <c r="BC74" i="7" s="1"/>
  <c r="E97" i="6"/>
  <c r="E116" i="6" s="1"/>
  <c r="C116" i="6" s="1"/>
  <c r="BC38" i="7"/>
  <c r="BG38" i="7" s="1"/>
  <c r="BI38" i="7" s="1"/>
  <c r="BG35" i="7"/>
  <c r="BI35" i="7" s="1"/>
  <c r="BH39" i="7" s="1"/>
  <c r="BH40" i="7" s="1"/>
  <c r="BG37" i="7"/>
  <c r="BI37" i="7" s="1"/>
  <c r="BG36" i="7"/>
  <c r="BI36" i="7" s="1"/>
  <c r="BH80" i="7"/>
  <c r="M95" i="7" s="1"/>
  <c r="F37" i="5" a="1"/>
  <c r="F37" i="5" s="1"/>
  <c r="BM77" i="7"/>
  <c r="BO77" i="7" s="1"/>
  <c r="BQ77" i="7" s="1"/>
  <c r="AO77" i="7"/>
  <c r="AQ77" i="7" s="1"/>
  <c r="AS77" i="7" s="1"/>
  <c r="CC77" i="7"/>
  <c r="CE77" i="7" s="1"/>
  <c r="CG77" i="7" s="1"/>
  <c r="Q77" i="7"/>
  <c r="S77" i="7" s="1"/>
  <c r="U77" i="7" s="1"/>
  <c r="BE77" i="7"/>
  <c r="BG77" i="7" s="1"/>
  <c r="BI77" i="7" s="1"/>
  <c r="AW77" i="7"/>
  <c r="AY77" i="7" s="1"/>
  <c r="BA77" i="7" s="1"/>
  <c r="CK77" i="7"/>
  <c r="CM77" i="7" s="1"/>
  <c r="CO77" i="7" s="1"/>
  <c r="Y77" i="7"/>
  <c r="AA77" i="7" s="1"/>
  <c r="AC77" i="7" s="1"/>
  <c r="BU77" i="7"/>
  <c r="BW77" i="7" s="1"/>
  <c r="BY77" i="7" s="1"/>
  <c r="AG77" i="7"/>
  <c r="AI77" i="7" s="1"/>
  <c r="AK77" i="7" s="1"/>
  <c r="M122" i="9"/>
  <c r="J122" i="9"/>
  <c r="F122" i="9"/>
  <c r="D122" i="9"/>
  <c r="P122" i="9"/>
  <c r="H122" i="9"/>
  <c r="K225" i="6"/>
  <c r="K234" i="6"/>
  <c r="E99" i="6"/>
  <c r="E118" i="6" s="1"/>
  <c r="C118" i="6" s="1"/>
  <c r="P765" i="5"/>
  <c r="K236" i="6"/>
  <c r="K227" i="6"/>
  <c r="O768" i="5"/>
  <c r="P767" i="5"/>
  <c r="P735" i="5"/>
  <c r="P743" i="5"/>
  <c r="P751" i="5"/>
  <c r="P759" i="5"/>
  <c r="BU75" i="7" a="1"/>
  <c r="BU75" i="7" s="1"/>
  <c r="L735" i="5"/>
  <c r="L746" i="5"/>
  <c r="L741" i="5"/>
  <c r="L779" i="5"/>
  <c r="L807" i="5"/>
  <c r="L800" i="5"/>
  <c r="L754" i="5"/>
  <c r="L798" i="5"/>
  <c r="L776" i="5"/>
  <c r="L809" i="5"/>
  <c r="L799" i="5"/>
  <c r="L797" i="5"/>
  <c r="L823" i="5"/>
  <c r="L826" i="5"/>
  <c r="R798" i="5"/>
  <c r="R733" i="5"/>
  <c r="R741" i="5"/>
  <c r="R751" i="5"/>
  <c r="R788" i="5"/>
  <c r="R796" i="5"/>
  <c r="R810" i="5"/>
  <c r="R759" i="5"/>
  <c r="R767" i="5"/>
  <c r="R775" i="5"/>
  <c r="R799" i="5"/>
  <c r="R822" i="5"/>
  <c r="R829" i="5"/>
  <c r="BP80" i="7"/>
  <c r="BP81" i="7" s="1"/>
  <c r="BP83" i="7" s="1"/>
  <c r="BP84" i="7" s="1"/>
  <c r="F98" i="6" s="1"/>
  <c r="F117" i="6" s="1"/>
  <c r="CF80" i="7"/>
  <c r="P93" i="7" s="1"/>
  <c r="G236" i="6"/>
  <c r="G227" i="6"/>
  <c r="F323" i="5" a="1"/>
  <c r="F323" i="5" s="1"/>
  <c r="M109" i="9"/>
  <c r="G109" i="9"/>
  <c r="K109" i="9"/>
  <c r="J109" i="9"/>
  <c r="I109" i="9"/>
  <c r="E109" i="9"/>
  <c r="K233" i="6"/>
  <c r="E98" i="6"/>
  <c r="E117" i="6" s="1"/>
  <c r="C117" i="6" s="1"/>
  <c r="K224" i="6"/>
  <c r="M466" i="5" a="1"/>
  <c r="M466" i="5" s="1"/>
  <c r="G105" i="9"/>
  <c r="M105" i="9"/>
  <c r="K105" i="9"/>
  <c r="J105" i="9"/>
  <c r="E105" i="9"/>
  <c r="I105" i="9"/>
  <c r="BM71" i="7"/>
  <c r="BO71" i="7" s="1"/>
  <c r="BQ71" i="7" s="1"/>
  <c r="BU71" i="7"/>
  <c r="BW71" i="7" s="1"/>
  <c r="BY71" i="7" s="1"/>
  <c r="CK71" i="7"/>
  <c r="CM71" i="7" s="1"/>
  <c r="CO71" i="7" s="1"/>
  <c r="BE71" i="7"/>
  <c r="BG71" i="7" s="1"/>
  <c r="BI71" i="7" s="1"/>
  <c r="P761" i="5"/>
  <c r="P736" i="5"/>
  <c r="P744" i="5"/>
  <c r="P752" i="5"/>
  <c r="P763" i="5"/>
  <c r="Y75" i="7" a="1"/>
  <c r="Y75" i="7" s="1"/>
  <c r="L742" i="5"/>
  <c r="F511" i="5" a="1"/>
  <c r="F511" i="5" s="1"/>
  <c r="L737" i="5"/>
  <c r="L781" i="5"/>
  <c r="L771" i="5"/>
  <c r="L802" i="5"/>
  <c r="L755" i="5"/>
  <c r="L808" i="5"/>
  <c r="L778" i="5"/>
  <c r="L761" i="5"/>
  <c r="L794" i="5"/>
  <c r="L801" i="5"/>
  <c r="L814" i="5"/>
  <c r="L828" i="5"/>
  <c r="M133" i="5" a="1"/>
  <c r="M133" i="5" s="1"/>
  <c r="L740" i="5"/>
  <c r="R804" i="5"/>
  <c r="R734" i="5"/>
  <c r="R742" i="5"/>
  <c r="R755" i="5"/>
  <c r="R785" i="5"/>
  <c r="R811" i="5"/>
  <c r="R797" i="5"/>
  <c r="R760" i="5"/>
  <c r="R768" i="5"/>
  <c r="R776" i="5"/>
  <c r="R814" i="5"/>
  <c r="R823" i="5"/>
  <c r="R831" i="5"/>
  <c r="T80" i="7"/>
  <c r="H90" i="7" s="1"/>
  <c r="BX80" i="7"/>
  <c r="BX81" i="7" s="1"/>
  <c r="BX83" i="7" s="1"/>
  <c r="BX84" i="7" s="1"/>
  <c r="F99" i="6" s="1"/>
  <c r="F118" i="6" s="1"/>
  <c r="I108" i="9"/>
  <c r="J108" i="9"/>
  <c r="G108" i="9"/>
  <c r="E108" i="9"/>
  <c r="M108" i="9"/>
  <c r="K108" i="9"/>
  <c r="C163" i="6"/>
  <c r="C164" i="6" s="1"/>
  <c r="C165" i="6" s="1"/>
  <c r="C166" i="6" s="1"/>
  <c r="C167" i="6" s="1"/>
  <c r="C168" i="6" s="1"/>
  <c r="C169" i="6" s="1"/>
  <c r="C170" i="6" s="1"/>
  <c r="C171" i="6" s="1"/>
  <c r="C172" i="6" s="1"/>
  <c r="D134" i="6"/>
  <c r="D135" i="6" s="1"/>
  <c r="D136" i="6" s="1"/>
  <c r="D137" i="6" s="1"/>
  <c r="D138" i="6" s="1"/>
  <c r="D139" i="6" s="1"/>
  <c r="D140" i="6" s="1"/>
  <c r="D141" i="6" s="1"/>
  <c r="D142" i="6" s="1"/>
  <c r="D143" i="6" s="1"/>
  <c r="C134" i="6"/>
  <c r="C135" i="6" s="1"/>
  <c r="C136" i="6" s="1"/>
  <c r="C137" i="6" s="1"/>
  <c r="C138" i="6" s="1"/>
  <c r="C139" i="6" s="1"/>
  <c r="C140" i="6" s="1"/>
  <c r="C141" i="6" s="1"/>
  <c r="C142" i="6" s="1"/>
  <c r="C143" i="6" s="1"/>
  <c r="R753" i="5"/>
  <c r="R812" i="5"/>
  <c r="R735" i="5"/>
  <c r="R743" i="5"/>
  <c r="R800" i="5"/>
  <c r="R790" i="5"/>
  <c r="R803" i="5"/>
  <c r="R801" i="5"/>
  <c r="R761" i="5"/>
  <c r="R769" i="5"/>
  <c r="R777" i="5"/>
  <c r="R816" i="5"/>
  <c r="R826" i="5"/>
  <c r="F393" i="5" a="1"/>
  <c r="F393" i="5" s="1"/>
  <c r="G225" i="6"/>
  <c r="CN80" i="7"/>
  <c r="CN81" i="7" s="1"/>
  <c r="CN83" i="7" s="1"/>
  <c r="CN84" i="7" s="1"/>
  <c r="F101" i="6" s="1"/>
  <c r="F120" i="6" s="1"/>
  <c r="G232" i="6"/>
  <c r="G223" i="6"/>
  <c r="E92" i="6"/>
  <c r="E111" i="6" s="1"/>
  <c r="C111" i="6" s="1"/>
  <c r="J107" i="9"/>
  <c r="G107" i="9"/>
  <c r="E107" i="9"/>
  <c r="K107" i="9"/>
  <c r="M107" i="9"/>
  <c r="I107" i="9"/>
  <c r="P738" i="5"/>
  <c r="P746" i="5"/>
  <c r="P754" i="5"/>
  <c r="Q75" i="7" a="1"/>
  <c r="Q75" i="7" s="1"/>
  <c r="L734" i="5"/>
  <c r="L783" i="5"/>
  <c r="L773" i="5"/>
  <c r="L749" i="5"/>
  <c r="L757" i="5"/>
  <c r="L766" i="5"/>
  <c r="L782" i="5"/>
  <c r="L791" i="5"/>
  <c r="L820" i="5"/>
  <c r="L811" i="5"/>
  <c r="L821" i="5"/>
  <c r="F357" i="5" a="1"/>
  <c r="F357" i="5" s="1"/>
  <c r="R748" i="5"/>
  <c r="R736" i="5"/>
  <c r="R744" i="5"/>
  <c r="R813" i="5"/>
  <c r="R784" i="5"/>
  <c r="R807" i="5"/>
  <c r="R762" i="5"/>
  <c r="R770" i="5"/>
  <c r="R778" i="5"/>
  <c r="R817" i="5"/>
  <c r="R828" i="5"/>
  <c r="F133" i="5" a="1"/>
  <c r="F133" i="5" s="1"/>
  <c r="M101" i="9"/>
  <c r="G101" i="9"/>
  <c r="I101" i="9"/>
  <c r="E101" i="9"/>
  <c r="K101" i="9"/>
  <c r="J101" i="9"/>
  <c r="AR80" i="7"/>
  <c r="AR81" i="7" s="1"/>
  <c r="AR83" i="7" s="1"/>
  <c r="AR84" i="7" s="1"/>
  <c r="F95" i="6" s="1"/>
  <c r="F114" i="6" s="1"/>
  <c r="E134" i="6"/>
  <c r="D163" i="6"/>
  <c r="D164" i="6" s="1"/>
  <c r="D165" i="6" s="1"/>
  <c r="D166" i="6" s="1"/>
  <c r="D167" i="6" s="1"/>
  <c r="D168" i="6" s="1"/>
  <c r="D169" i="6" s="1"/>
  <c r="D170" i="6" s="1"/>
  <c r="D171" i="6" s="1"/>
  <c r="D172" i="6" s="1"/>
  <c r="M126" i="9"/>
  <c r="J126" i="9"/>
  <c r="P126" i="9"/>
  <c r="H126" i="9"/>
  <c r="F126" i="9"/>
  <c r="D126" i="9"/>
  <c r="G234" i="6"/>
  <c r="L792" i="5"/>
  <c r="L788" i="5"/>
  <c r="L750" i="5"/>
  <c r="L758" i="5"/>
  <c r="L768" i="5"/>
  <c r="L789" i="5"/>
  <c r="L786" i="5"/>
  <c r="L822" i="5"/>
  <c r="L803" i="5"/>
  <c r="L824" i="5"/>
  <c r="AO76" i="7"/>
  <c r="CC76" i="7"/>
  <c r="Q76" i="7"/>
  <c r="BE76" i="7"/>
  <c r="AG76" i="7"/>
  <c r="CK76" i="7"/>
  <c r="Y76" i="7"/>
  <c r="BM76" i="7"/>
  <c r="BU76" i="7"/>
  <c r="AW76" i="7"/>
  <c r="R752" i="5"/>
  <c r="R737" i="5"/>
  <c r="R745" i="5"/>
  <c r="R792" i="5"/>
  <c r="R791" i="5"/>
  <c r="R787" i="5"/>
  <c r="R808" i="5"/>
  <c r="R763" i="5"/>
  <c r="R771" i="5"/>
  <c r="R779" i="5"/>
  <c r="R818" i="5"/>
  <c r="R830" i="5"/>
  <c r="AB80" i="7"/>
  <c r="AB81" i="7" s="1"/>
  <c r="AB83" i="7" s="1"/>
  <c r="AB84" i="7" s="1"/>
  <c r="F93" i="6" s="1"/>
  <c r="F112" i="6" s="1"/>
  <c r="K102" i="9"/>
  <c r="E102" i="9"/>
  <c r="J102" i="9"/>
  <c r="I102" i="9"/>
  <c r="G102" i="9"/>
  <c r="M102" i="9"/>
  <c r="G224" i="6"/>
  <c r="E93" i="6"/>
  <c r="E112" i="6" s="1"/>
  <c r="C112" i="6" s="1"/>
  <c r="G233" i="6"/>
  <c r="M37" i="5" a="1"/>
  <c r="M37" i="5" s="1"/>
  <c r="AW75" i="7" a="1"/>
  <c r="AW75" i="7" s="1"/>
  <c r="P762" i="5"/>
  <c r="L747" i="5"/>
  <c r="L795" i="5"/>
  <c r="L793" i="5"/>
  <c r="L751" i="5"/>
  <c r="L759" i="5"/>
  <c r="L770" i="5"/>
  <c r="L785" i="5"/>
  <c r="L804" i="5"/>
  <c r="L784" i="5"/>
  <c r="L817" i="5"/>
  <c r="L827" i="5"/>
  <c r="M357" i="5" a="1"/>
  <c r="M357" i="5" s="1"/>
  <c r="F609" i="5" a="1"/>
  <c r="F609" i="5" s="1"/>
  <c r="R749" i="5"/>
  <c r="R756" i="5"/>
  <c r="R738" i="5"/>
  <c r="R746" i="5"/>
  <c r="R750" i="5"/>
  <c r="R793" i="5"/>
  <c r="R795" i="5"/>
  <c r="R805" i="5"/>
  <c r="R764" i="5"/>
  <c r="R772" i="5"/>
  <c r="R780" i="5"/>
  <c r="R819" i="5"/>
  <c r="M229" i="5" a="1"/>
  <c r="M229" i="5" s="1"/>
  <c r="AZ80" i="7"/>
  <c r="AZ81" i="7" s="1"/>
  <c r="AZ83" i="7" s="1"/>
  <c r="AZ84" i="7" s="1"/>
  <c r="F96" i="6" s="1"/>
  <c r="F115" i="6" s="1"/>
  <c r="P755" i="5"/>
  <c r="P740" i="5"/>
  <c r="P748" i="5"/>
  <c r="P756" i="5"/>
  <c r="P760" i="5"/>
  <c r="P733" i="5"/>
  <c r="P741" i="5"/>
  <c r="P749" i="5"/>
  <c r="P757" i="5"/>
  <c r="AO75" i="7" a="1"/>
  <c r="AO75" i="7" s="1"/>
  <c r="L743" i="5"/>
  <c r="D830" i="5"/>
  <c r="D824" i="5"/>
  <c r="L777" i="5"/>
  <c r="L764" i="5"/>
  <c r="L760" i="5"/>
  <c r="L752" i="5"/>
  <c r="L763" i="5"/>
  <c r="L772" i="5"/>
  <c r="L790" i="5"/>
  <c r="L805" i="5"/>
  <c r="L812" i="5"/>
  <c r="L818" i="5"/>
  <c r="L829" i="5"/>
  <c r="R794" i="5"/>
  <c r="R739" i="5"/>
  <c r="R747" i="5"/>
  <c r="R754" i="5"/>
  <c r="R802" i="5"/>
  <c r="R815" i="5"/>
  <c r="R806" i="5"/>
  <c r="R765" i="5"/>
  <c r="R773" i="5"/>
  <c r="R781" i="5"/>
  <c r="R820" i="5"/>
  <c r="R825" i="5"/>
  <c r="AJ80" i="7"/>
  <c r="J90" i="7" s="1"/>
  <c r="L744" i="5"/>
  <c r="K235" i="6"/>
  <c r="E100" i="6"/>
  <c r="E119" i="6" s="1"/>
  <c r="C119" i="6" s="1"/>
  <c r="K226" i="6"/>
  <c r="J103" i="9"/>
  <c r="K103" i="9"/>
  <c r="I103" i="9"/>
  <c r="G103" i="9"/>
  <c r="E103" i="9"/>
  <c r="M103" i="9"/>
  <c r="AQ35" i="7" l="1"/>
  <c r="AS35" i="7" s="1"/>
  <c r="AR39" i="7" s="1"/>
  <c r="AR40" i="7" s="1"/>
  <c r="G134" i="6"/>
  <c r="BG75" i="7"/>
  <c r="BI75" i="7" s="1"/>
  <c r="AO71" i="7"/>
  <c r="AQ71" i="7" s="1"/>
  <c r="AS71" i="7" s="1"/>
  <c r="I740" i="5"/>
  <c r="J739" i="5"/>
  <c r="AG71" i="7"/>
  <c r="AI71" i="7" s="1"/>
  <c r="AK71" i="7" s="1"/>
  <c r="E646" i="5"/>
  <c r="F645" i="5"/>
  <c r="Q71" i="7"/>
  <c r="S71" i="7" s="1"/>
  <c r="U71" i="7" s="1"/>
  <c r="T26" i="7"/>
  <c r="AW71" i="7"/>
  <c r="AY71" i="7" s="1"/>
  <c r="BA71" i="7" s="1"/>
  <c r="E741" i="5"/>
  <c r="F740" i="5"/>
  <c r="Y71" i="7"/>
  <c r="AA71" i="7" s="1"/>
  <c r="AC71" i="7" s="1"/>
  <c r="G741" i="5"/>
  <c r="H740" i="5"/>
  <c r="M96" i="7"/>
  <c r="M98" i="7"/>
  <c r="M92" i="7"/>
  <c r="N97" i="7"/>
  <c r="N96" i="7"/>
  <c r="K95" i="7"/>
  <c r="M91" i="7"/>
  <c r="BG76" i="7"/>
  <c r="BI76" i="7" s="1"/>
  <c r="M103" i="7" s="1"/>
  <c r="BC73" i="7"/>
  <c r="BG73" i="7" s="1"/>
  <c r="BI73" i="7" s="1"/>
  <c r="M100" i="7" s="1"/>
  <c r="BC52" i="7"/>
  <c r="BG52" i="7" s="1"/>
  <c r="BI52" i="7" s="1"/>
  <c r="BC49" i="7"/>
  <c r="BG50" i="7" s="1"/>
  <c r="BI50" i="7" s="1"/>
  <c r="N93" i="7"/>
  <c r="N95" i="7"/>
  <c r="AM49" i="7"/>
  <c r="AQ50" i="7" s="1"/>
  <c r="AS50" i="7" s="1"/>
  <c r="AM74" i="7"/>
  <c r="AQ76" i="7" s="1"/>
  <c r="AS76" i="7" s="1"/>
  <c r="K103" i="7" s="1"/>
  <c r="BG74" i="7"/>
  <c r="BI74" i="7" s="1"/>
  <c r="M101" i="7" s="1"/>
  <c r="AM52" i="7"/>
  <c r="AQ52" i="7" s="1"/>
  <c r="AS52" i="7" s="1"/>
  <c r="Q97" i="7"/>
  <c r="Q96" i="7"/>
  <c r="H92" i="7"/>
  <c r="AQ36" i="7"/>
  <c r="AS36" i="7" s="1"/>
  <c r="O98" i="7"/>
  <c r="O94" i="7"/>
  <c r="O92" i="7"/>
  <c r="P95" i="7"/>
  <c r="O97" i="7"/>
  <c r="P91" i="7"/>
  <c r="H93" i="7"/>
  <c r="M93" i="7"/>
  <c r="P94" i="7"/>
  <c r="H95" i="7"/>
  <c r="P90" i="7"/>
  <c r="P98" i="7"/>
  <c r="L92" i="7"/>
  <c r="H94" i="7"/>
  <c r="O90" i="7"/>
  <c r="K90" i="7"/>
  <c r="O96" i="7"/>
  <c r="O91" i="7"/>
  <c r="O93" i="7"/>
  <c r="L91" i="7"/>
  <c r="L90" i="7"/>
  <c r="Q90" i="7"/>
  <c r="P104" i="7"/>
  <c r="K93" i="7"/>
  <c r="K96" i="7"/>
  <c r="Q98" i="7"/>
  <c r="M102" i="7"/>
  <c r="Q91" i="7"/>
  <c r="K100" i="7"/>
  <c r="K98" i="7"/>
  <c r="P96" i="7"/>
  <c r="K92" i="7"/>
  <c r="Q95" i="7"/>
  <c r="K94" i="7"/>
  <c r="Q94" i="7"/>
  <c r="M104" i="7"/>
  <c r="N92" i="7"/>
  <c r="L98" i="7"/>
  <c r="J97" i="7"/>
  <c r="BK38" i="7"/>
  <c r="BO38" i="7" s="1"/>
  <c r="BQ38" i="7" s="1"/>
  <c r="BK35" i="7"/>
  <c r="N90" i="7"/>
  <c r="BS52" i="7"/>
  <c r="BW52" i="7" s="1"/>
  <c r="BY52" i="7" s="1"/>
  <c r="BS49" i="7"/>
  <c r="BS74" i="7"/>
  <c r="BS73" i="7"/>
  <c r="BW73" i="7" s="1"/>
  <c r="BY73" i="7" s="1"/>
  <c r="O100" i="7" s="1"/>
  <c r="Q104" i="7"/>
  <c r="CA38" i="7"/>
  <c r="CE38" i="7" s="1"/>
  <c r="CG38" i="7" s="1"/>
  <c r="CA35" i="7"/>
  <c r="W38" i="7"/>
  <c r="AA38" i="7" s="1"/>
  <c r="AC38" i="7" s="1"/>
  <c r="W35" i="7"/>
  <c r="I94" i="7"/>
  <c r="CA49" i="7"/>
  <c r="CA52" i="7"/>
  <c r="CE52" i="7" s="1"/>
  <c r="CG52" i="7" s="1"/>
  <c r="CA74" i="7"/>
  <c r="CA73" i="7"/>
  <c r="CE73" i="7" s="1"/>
  <c r="CG73" i="7" s="1"/>
  <c r="P100" i="7" s="1"/>
  <c r="I90" i="7"/>
  <c r="T81" i="7"/>
  <c r="T83" i="7" s="1"/>
  <c r="T84" i="7" s="1"/>
  <c r="F92" i="6" s="1"/>
  <c r="F111" i="6" s="1"/>
  <c r="H97" i="7"/>
  <c r="N98" i="7"/>
  <c r="Q92" i="7"/>
  <c r="CI49" i="7"/>
  <c r="CI52" i="7"/>
  <c r="CM52" i="7" s="1"/>
  <c r="CO52" i="7" s="1"/>
  <c r="CI73" i="7"/>
  <c r="CM73" i="7" s="1"/>
  <c r="CO73" i="7" s="1"/>
  <c r="Q100" i="7" s="1"/>
  <c r="CI74" i="7"/>
  <c r="BS38" i="7"/>
  <c r="BW38" i="7" s="1"/>
  <c r="BY38" i="7" s="1"/>
  <c r="BS35" i="7"/>
  <c r="L104" i="7"/>
  <c r="L97" i="7"/>
  <c r="W52" i="7"/>
  <c r="AA52" i="7" s="1"/>
  <c r="AC52" i="7" s="1"/>
  <c r="W49" i="7"/>
  <c r="W74" i="7"/>
  <c r="W73" i="7"/>
  <c r="AA73" i="7" s="1"/>
  <c r="AC73" i="7" s="1"/>
  <c r="I100" i="7" s="1"/>
  <c r="O38" i="7"/>
  <c r="S38" i="7" s="1"/>
  <c r="U38" i="7" s="1"/>
  <c r="O35" i="7"/>
  <c r="I98" i="7"/>
  <c r="BK52" i="7"/>
  <c r="BO52" i="7" s="1"/>
  <c r="BQ52" i="7" s="1"/>
  <c r="BK49" i="7"/>
  <c r="BK73" i="7"/>
  <c r="BO73" i="7" s="1"/>
  <c r="BQ73" i="7" s="1"/>
  <c r="N100" i="7" s="1"/>
  <c r="BK74" i="7"/>
  <c r="AU38" i="7"/>
  <c r="AY38" i="7" s="1"/>
  <c r="BA38" i="7" s="1"/>
  <c r="AU35" i="7"/>
  <c r="K97" i="7"/>
  <c r="L93" i="7"/>
  <c r="K91" i="7"/>
  <c r="L94" i="7"/>
  <c r="AJ81" i="7"/>
  <c r="AJ83" i="7" s="1"/>
  <c r="AJ84" i="7" s="1"/>
  <c r="F94" i="6" s="1"/>
  <c r="F113" i="6" s="1"/>
  <c r="J94" i="7"/>
  <c r="AE52" i="7"/>
  <c r="AI52" i="7" s="1"/>
  <c r="AK52" i="7" s="1"/>
  <c r="AE49" i="7"/>
  <c r="AE73" i="7"/>
  <c r="AI73" i="7" s="1"/>
  <c r="AK73" i="7" s="1"/>
  <c r="J100" i="7" s="1"/>
  <c r="AE74" i="7"/>
  <c r="I95" i="7"/>
  <c r="I92" i="7"/>
  <c r="AU52" i="7"/>
  <c r="AY52" i="7" s="1"/>
  <c r="BA52" i="7" s="1"/>
  <c r="AU49" i="7"/>
  <c r="AU73" i="7"/>
  <c r="AY73" i="7" s="1"/>
  <c r="BA73" i="7" s="1"/>
  <c r="L100" i="7" s="1"/>
  <c r="AU74" i="7"/>
  <c r="O769" i="5"/>
  <c r="P768" i="5"/>
  <c r="H104" i="7"/>
  <c r="BH81" i="7"/>
  <c r="BH83" i="7" s="1"/>
  <c r="BH84" i="7" s="1"/>
  <c r="F97" i="6" s="1"/>
  <c r="F116" i="6" s="1"/>
  <c r="M94" i="7"/>
  <c r="M97" i="7"/>
  <c r="J96" i="7"/>
  <c r="L95" i="7"/>
  <c r="J95" i="7"/>
  <c r="J92" i="7"/>
  <c r="I97" i="7"/>
  <c r="I96" i="7"/>
  <c r="J93" i="7"/>
  <c r="L96" i="7"/>
  <c r="F136" i="6"/>
  <c r="Q93" i="7"/>
  <c r="J91" i="7"/>
  <c r="J104" i="7"/>
  <c r="K104" i="7"/>
  <c r="M90" i="7"/>
  <c r="N94" i="7"/>
  <c r="H98" i="7"/>
  <c r="CF81" i="7"/>
  <c r="CF83" i="7" s="1"/>
  <c r="CF84" i="7" s="1"/>
  <c r="F100" i="6" s="1"/>
  <c r="F119" i="6" s="1"/>
  <c r="P97" i="7"/>
  <c r="O95" i="7"/>
  <c r="I93" i="7"/>
  <c r="P92" i="7"/>
  <c r="O104" i="7"/>
  <c r="N104" i="7"/>
  <c r="H96" i="7"/>
  <c r="E135" i="6"/>
  <c r="H134" i="6"/>
  <c r="O49" i="7"/>
  <c r="O52" i="7"/>
  <c r="S52" i="7" s="1"/>
  <c r="U52" i="7" s="1"/>
  <c r="O73" i="7"/>
  <c r="S73" i="7" s="1"/>
  <c r="U73" i="7" s="1"/>
  <c r="H100" i="7" s="1"/>
  <c r="O74" i="7"/>
  <c r="AE35" i="7"/>
  <c r="AE38" i="7"/>
  <c r="AI38" i="7" s="1"/>
  <c r="AK38" i="7" s="1"/>
  <c r="J98" i="7"/>
  <c r="I91" i="7"/>
  <c r="CI38" i="7"/>
  <c r="CM38" i="7" s="1"/>
  <c r="CO38" i="7" s="1"/>
  <c r="CI35" i="7"/>
  <c r="I104" i="7"/>
  <c r="N91" i="7"/>
  <c r="H91" i="7"/>
  <c r="G742" i="5" l="1"/>
  <c r="H741" i="5"/>
  <c r="E647" i="5"/>
  <c r="F646" i="5"/>
  <c r="E742" i="5"/>
  <c r="F741" i="5"/>
  <c r="I741" i="5"/>
  <c r="J740" i="5"/>
  <c r="BG51" i="7"/>
  <c r="BI51" i="7" s="1"/>
  <c r="BG49" i="7"/>
  <c r="BI49" i="7" s="1"/>
  <c r="BH53" i="7" s="1"/>
  <c r="BE72" i="7" s="1"/>
  <c r="BG72" i="7" s="1"/>
  <c r="BI72" i="7" s="1"/>
  <c r="M99" i="7" s="1"/>
  <c r="AQ74" i="7"/>
  <c r="AS74" i="7" s="1"/>
  <c r="K101" i="7" s="1"/>
  <c r="AQ75" i="7"/>
  <c r="AS75" i="7" s="1"/>
  <c r="K102" i="7" s="1"/>
  <c r="AQ49" i="7"/>
  <c r="AS49" i="7" s="1"/>
  <c r="AR53" i="7" s="1"/>
  <c r="AO72" i="7" s="1"/>
  <c r="AQ72" i="7" s="1"/>
  <c r="AS72" i="7" s="1"/>
  <c r="K99" i="7" s="1"/>
  <c r="AQ51" i="7"/>
  <c r="AS51" i="7" s="1"/>
  <c r="BW51" i="7"/>
  <c r="BY51" i="7" s="1"/>
  <c r="BW49" i="7"/>
  <c r="BY49" i="7" s="1"/>
  <c r="BX53" i="7" s="1"/>
  <c r="BW50" i="7"/>
  <c r="BY50" i="7" s="1"/>
  <c r="BW37" i="7"/>
  <c r="BY37" i="7" s="1"/>
  <c r="BW35" i="7"/>
  <c r="BY35" i="7" s="1"/>
  <c r="BX39" i="7" s="1"/>
  <c r="BX40" i="7" s="1"/>
  <c r="BW36" i="7"/>
  <c r="BY36" i="7" s="1"/>
  <c r="AA37" i="7"/>
  <c r="AC37" i="7" s="1"/>
  <c r="AA35" i="7"/>
  <c r="AC35" i="7" s="1"/>
  <c r="AB39" i="7" s="1"/>
  <c r="AB40" i="7" s="1"/>
  <c r="AA36" i="7"/>
  <c r="AC36" i="7" s="1"/>
  <c r="BO76" i="7"/>
  <c r="BQ76" i="7" s="1"/>
  <c r="N103" i="7" s="1"/>
  <c r="BO75" i="7"/>
  <c r="BQ75" i="7" s="1"/>
  <c r="N102" i="7" s="1"/>
  <c r="BO74" i="7"/>
  <c r="BQ74" i="7" s="1"/>
  <c r="N101" i="7" s="1"/>
  <c r="S49" i="7"/>
  <c r="U49" i="7" s="1"/>
  <c r="T53" i="7" s="1"/>
  <c r="S51" i="7"/>
  <c r="U51" i="7" s="1"/>
  <c r="S50" i="7"/>
  <c r="U50" i="7" s="1"/>
  <c r="CM75" i="7"/>
  <c r="CO75" i="7" s="1"/>
  <c r="Q102" i="7" s="1"/>
  <c r="CM74" i="7"/>
  <c r="CO74" i="7" s="1"/>
  <c r="Q101" i="7" s="1"/>
  <c r="CM76" i="7"/>
  <c r="CO76" i="7" s="1"/>
  <c r="Q103" i="7" s="1"/>
  <c r="CE37" i="7"/>
  <c r="CG37" i="7" s="1"/>
  <c r="CE35" i="7"/>
  <c r="CG35" i="7" s="1"/>
  <c r="CF39" i="7" s="1"/>
  <c r="CF40" i="7" s="1"/>
  <c r="CE36" i="7"/>
  <c r="CG36" i="7" s="1"/>
  <c r="BO37" i="7"/>
  <c r="BQ37" i="7" s="1"/>
  <c r="BO35" i="7"/>
  <c r="BQ35" i="7" s="1"/>
  <c r="BP39" i="7" s="1"/>
  <c r="BP40" i="7" s="1"/>
  <c r="BO36" i="7"/>
  <c r="BQ36" i="7" s="1"/>
  <c r="CM35" i="7"/>
  <c r="CO35" i="7" s="1"/>
  <c r="CN39" i="7" s="1"/>
  <c r="CN40" i="7" s="1"/>
  <c r="CM37" i="7"/>
  <c r="CO37" i="7" s="1"/>
  <c r="CM36" i="7"/>
  <c r="CO36" i="7" s="1"/>
  <c r="AI51" i="7"/>
  <c r="AK51" i="7" s="1"/>
  <c r="AI49" i="7"/>
  <c r="AK49" i="7" s="1"/>
  <c r="AJ53" i="7" s="1"/>
  <c r="AI50" i="7"/>
  <c r="AK50" i="7" s="1"/>
  <c r="BO49" i="7"/>
  <c r="BQ49" i="7" s="1"/>
  <c r="BP53" i="7" s="1"/>
  <c r="BO51" i="7"/>
  <c r="BQ51" i="7" s="1"/>
  <c r="BO50" i="7"/>
  <c r="BQ50" i="7" s="1"/>
  <c r="AA75" i="7"/>
  <c r="AC75" i="7" s="1"/>
  <c r="I102" i="7" s="1"/>
  <c r="AA74" i="7"/>
  <c r="AC74" i="7" s="1"/>
  <c r="I101" i="7" s="1"/>
  <c r="AA76" i="7"/>
  <c r="AC76" i="7" s="1"/>
  <c r="I103" i="7" s="1"/>
  <c r="AI37" i="7"/>
  <c r="AK37" i="7" s="1"/>
  <c r="AI35" i="7"/>
  <c r="AK35" i="7" s="1"/>
  <c r="AJ39" i="7" s="1"/>
  <c r="AJ40" i="7" s="1"/>
  <c r="AI36" i="7"/>
  <c r="AK36" i="7" s="1"/>
  <c r="AA49" i="7"/>
  <c r="AC49" i="7" s="1"/>
  <c r="AB53" i="7" s="1"/>
  <c r="AA51" i="7"/>
  <c r="AC51" i="7" s="1"/>
  <c r="AA50" i="7"/>
  <c r="AC50" i="7" s="1"/>
  <c r="CE76" i="7"/>
  <c r="CG76" i="7" s="1"/>
  <c r="P103" i="7" s="1"/>
  <c r="CE75" i="7"/>
  <c r="CG75" i="7" s="1"/>
  <c r="P102" i="7" s="1"/>
  <c r="CE74" i="7"/>
  <c r="CG74" i="7" s="1"/>
  <c r="P101" i="7" s="1"/>
  <c r="AY75" i="7"/>
  <c r="BA75" i="7" s="1"/>
  <c r="L102" i="7" s="1"/>
  <c r="AY74" i="7"/>
  <c r="BA74" i="7" s="1"/>
  <c r="L101" i="7" s="1"/>
  <c r="AY76" i="7"/>
  <c r="BA76" i="7" s="1"/>
  <c r="L103" i="7" s="1"/>
  <c r="AY37" i="7"/>
  <c r="BA37" i="7" s="1"/>
  <c r="AY35" i="7"/>
  <c r="BA35" i="7" s="1"/>
  <c r="AZ39" i="7" s="1"/>
  <c r="AZ40" i="7" s="1"/>
  <c r="AY36" i="7"/>
  <c r="BA36" i="7" s="1"/>
  <c r="S37" i="7"/>
  <c r="U37" i="7" s="1"/>
  <c r="S35" i="7"/>
  <c r="U35" i="7" s="1"/>
  <c r="T39" i="7" s="1"/>
  <c r="T40" i="7" s="1"/>
  <c r="S36" i="7"/>
  <c r="U36" i="7" s="1"/>
  <c r="AY51" i="7"/>
  <c r="BA51" i="7" s="1"/>
  <c r="AY49" i="7"/>
  <c r="BA49" i="7" s="1"/>
  <c r="AZ53" i="7" s="1"/>
  <c r="AY50" i="7"/>
  <c r="BA50" i="7" s="1"/>
  <c r="H135" i="6"/>
  <c r="E136" i="6"/>
  <c r="AI76" i="7"/>
  <c r="AK76" i="7" s="1"/>
  <c r="J103" i="7" s="1"/>
  <c r="AI75" i="7"/>
  <c r="AK75" i="7" s="1"/>
  <c r="J102" i="7" s="1"/>
  <c r="AI74" i="7"/>
  <c r="AK74" i="7" s="1"/>
  <c r="J101" i="7" s="1"/>
  <c r="CM49" i="7"/>
  <c r="CO49" i="7" s="1"/>
  <c r="CN53" i="7" s="1"/>
  <c r="CM51" i="7"/>
  <c r="CO51" i="7" s="1"/>
  <c r="CM50" i="7"/>
  <c r="CO50" i="7" s="1"/>
  <c r="S76" i="7"/>
  <c r="U76" i="7" s="1"/>
  <c r="H103" i="7" s="1"/>
  <c r="S75" i="7"/>
  <c r="U75" i="7" s="1"/>
  <c r="H102" i="7" s="1"/>
  <c r="S74" i="7"/>
  <c r="U74" i="7" s="1"/>
  <c r="H101" i="7" s="1"/>
  <c r="F137" i="6"/>
  <c r="G135" i="6"/>
  <c r="O770" i="5"/>
  <c r="P769" i="5"/>
  <c r="CE51" i="7"/>
  <c r="CG51" i="7" s="1"/>
  <c r="CE49" i="7"/>
  <c r="CG49" i="7" s="1"/>
  <c r="CF53" i="7" s="1"/>
  <c r="CE50" i="7"/>
  <c r="CG50" i="7" s="1"/>
  <c r="BW76" i="7"/>
  <c r="BY76" i="7" s="1"/>
  <c r="O103" i="7" s="1"/>
  <c r="BW75" i="7"/>
  <c r="BY75" i="7" s="1"/>
  <c r="O102" i="7" s="1"/>
  <c r="BW74" i="7"/>
  <c r="BY74" i="7" s="1"/>
  <c r="O101" i="7" s="1"/>
  <c r="I742" i="5" l="1"/>
  <c r="J741" i="5"/>
  <c r="E648" i="5"/>
  <c r="F647" i="5"/>
  <c r="E743" i="5"/>
  <c r="F742" i="5"/>
  <c r="G743" i="5"/>
  <c r="H742" i="5"/>
  <c r="BH54" i="7"/>
  <c r="AR54" i="7"/>
  <c r="O771" i="5"/>
  <c r="P770" i="5"/>
  <c r="AB54" i="7"/>
  <c r="Y72" i="7"/>
  <c r="AA72" i="7" s="1"/>
  <c r="AC72" i="7" s="1"/>
  <c r="I99" i="7" s="1"/>
  <c r="E137" i="6"/>
  <c r="H136" i="6"/>
  <c r="Q72" i="7"/>
  <c r="S72" i="7" s="1"/>
  <c r="U72" i="7" s="1"/>
  <c r="H99" i="7" s="1"/>
  <c r="T54" i="7"/>
  <c r="AW72" i="7"/>
  <c r="AY72" i="7" s="1"/>
  <c r="BA72" i="7" s="1"/>
  <c r="L99" i="7" s="1"/>
  <c r="AZ54" i="7"/>
  <c r="CK72" i="7"/>
  <c r="CM72" i="7" s="1"/>
  <c r="CO72" i="7" s="1"/>
  <c r="Q99" i="7" s="1"/>
  <c r="CN54" i="7"/>
  <c r="CC72" i="7"/>
  <c r="CE72" i="7" s="1"/>
  <c r="CG72" i="7" s="1"/>
  <c r="P99" i="7" s="1"/>
  <c r="CF54" i="7"/>
  <c r="BX54" i="7"/>
  <c r="BU72" i="7"/>
  <c r="BW72" i="7" s="1"/>
  <c r="BY72" i="7" s="1"/>
  <c r="O99" i="7" s="1"/>
  <c r="AG72" i="7"/>
  <c r="AI72" i="7" s="1"/>
  <c r="AK72" i="7" s="1"/>
  <c r="J99" i="7" s="1"/>
  <c r="AJ54" i="7"/>
  <c r="F138" i="6"/>
  <c r="G136" i="6"/>
  <c r="BM72" i="7"/>
  <c r="BO72" i="7" s="1"/>
  <c r="BQ72" i="7" s="1"/>
  <c r="N99" i="7" s="1"/>
  <c r="BP54" i="7"/>
  <c r="E744" i="5" l="1"/>
  <c r="F743" i="5"/>
  <c r="E649" i="5"/>
  <c r="F648" i="5"/>
  <c r="G744" i="5"/>
  <c r="H743" i="5"/>
  <c r="I743" i="5"/>
  <c r="J742" i="5"/>
  <c r="E138" i="6"/>
  <c r="G138" i="6" s="1"/>
  <c r="H137" i="6"/>
  <c r="G137" i="6"/>
  <c r="F139" i="6"/>
  <c r="O772" i="5"/>
  <c r="P771" i="5"/>
  <c r="I744" i="5" l="1"/>
  <c r="J743" i="5"/>
  <c r="G745" i="5"/>
  <c r="H744" i="5"/>
  <c r="E650" i="5"/>
  <c r="F649" i="5"/>
  <c r="E745" i="5"/>
  <c r="F744" i="5"/>
  <c r="O773" i="5"/>
  <c r="P772" i="5"/>
  <c r="F140" i="6"/>
  <c r="E139" i="6"/>
  <c r="H138" i="6"/>
  <c r="E746" i="5" l="1"/>
  <c r="F745" i="5"/>
  <c r="E651" i="5"/>
  <c r="F650" i="5"/>
  <c r="G746" i="5"/>
  <c r="H745" i="5"/>
  <c r="I745" i="5"/>
  <c r="J744" i="5"/>
  <c r="H139" i="6"/>
  <c r="E140" i="6"/>
  <c r="F141" i="6"/>
  <c r="G139" i="6"/>
  <c r="O774" i="5"/>
  <c r="P773" i="5"/>
  <c r="E652" i="5" l="1"/>
  <c r="F651" i="5"/>
  <c r="I746" i="5"/>
  <c r="J745" i="5"/>
  <c r="G747" i="5"/>
  <c r="H746" i="5"/>
  <c r="E747" i="5"/>
  <c r="F746" i="5"/>
  <c r="E141" i="6"/>
  <c r="G141" i="6" s="1"/>
  <c r="H140" i="6"/>
  <c r="O775" i="5"/>
  <c r="P774" i="5"/>
  <c r="F142" i="6"/>
  <c r="G140" i="6"/>
  <c r="E748" i="5" l="1"/>
  <c r="F747" i="5"/>
  <c r="I747" i="5"/>
  <c r="J746" i="5"/>
  <c r="G748" i="5"/>
  <c r="H747" i="5"/>
  <c r="E653" i="5"/>
  <c r="F652" i="5"/>
  <c r="F143" i="6"/>
  <c r="O776" i="5"/>
  <c r="P775" i="5"/>
  <c r="E142" i="6"/>
  <c r="H141" i="6"/>
  <c r="E654" i="5" l="1"/>
  <c r="F653" i="5"/>
  <c r="G749" i="5"/>
  <c r="H748" i="5"/>
  <c r="I748" i="5"/>
  <c r="J747" i="5"/>
  <c r="E749" i="5"/>
  <c r="F748" i="5"/>
  <c r="E143" i="6"/>
  <c r="H143" i="6" s="1"/>
  <c r="H142" i="6"/>
  <c r="O777" i="5"/>
  <c r="P776" i="5"/>
  <c r="G142" i="6"/>
  <c r="E750" i="5" l="1"/>
  <c r="F749" i="5"/>
  <c r="I749" i="5"/>
  <c r="J748" i="5"/>
  <c r="G750" i="5"/>
  <c r="H749" i="5"/>
  <c r="E655" i="5"/>
  <c r="F654" i="5"/>
  <c r="G143" i="6"/>
  <c r="O778" i="5"/>
  <c r="P777" i="5"/>
  <c r="E656" i="5" l="1"/>
  <c r="F655" i="5"/>
  <c r="G751" i="5"/>
  <c r="H750" i="5"/>
  <c r="I750" i="5"/>
  <c r="J749" i="5"/>
  <c r="E751" i="5"/>
  <c r="F750" i="5"/>
  <c r="O779" i="5"/>
  <c r="P778" i="5"/>
  <c r="E752" i="5" l="1"/>
  <c r="F751" i="5"/>
  <c r="I751" i="5"/>
  <c r="J750" i="5"/>
  <c r="G752" i="5"/>
  <c r="H751" i="5"/>
  <c r="E657" i="5"/>
  <c r="F656" i="5"/>
  <c r="O780" i="5"/>
  <c r="P779" i="5"/>
  <c r="E658" i="5" l="1"/>
  <c r="F657" i="5"/>
  <c r="G753" i="5"/>
  <c r="H752" i="5"/>
  <c r="I752" i="5"/>
  <c r="J751" i="5"/>
  <c r="E753" i="5"/>
  <c r="F752" i="5"/>
  <c r="O781" i="5"/>
  <c r="P780" i="5"/>
  <c r="E754" i="5" l="1"/>
  <c r="F753" i="5"/>
  <c r="I753" i="5"/>
  <c r="J752" i="5"/>
  <c r="G754" i="5"/>
  <c r="H753" i="5"/>
  <c r="E659" i="5"/>
  <c r="F658" i="5"/>
  <c r="O782" i="5"/>
  <c r="P781" i="5"/>
  <c r="E660" i="5" l="1"/>
  <c r="F659" i="5"/>
  <c r="G755" i="5"/>
  <c r="H754" i="5"/>
  <c r="I754" i="5"/>
  <c r="J753" i="5"/>
  <c r="E755" i="5"/>
  <c r="F754" i="5"/>
  <c r="O783" i="5"/>
  <c r="P782" i="5"/>
  <c r="E756" i="5" l="1"/>
  <c r="F755" i="5"/>
  <c r="I755" i="5"/>
  <c r="J754" i="5"/>
  <c r="G756" i="5"/>
  <c r="H755" i="5"/>
  <c r="E661" i="5"/>
  <c r="F660" i="5"/>
  <c r="O784" i="5"/>
  <c r="P783" i="5"/>
  <c r="E662" i="5" l="1"/>
  <c r="F661" i="5"/>
  <c r="G757" i="5"/>
  <c r="H756" i="5"/>
  <c r="I756" i="5"/>
  <c r="J755" i="5"/>
  <c r="E757" i="5"/>
  <c r="F756" i="5"/>
  <c r="O785" i="5"/>
  <c r="P784" i="5"/>
  <c r="E758" i="5" l="1"/>
  <c r="F757" i="5"/>
  <c r="I757" i="5"/>
  <c r="J756" i="5"/>
  <c r="G758" i="5"/>
  <c r="H757" i="5"/>
  <c r="E663" i="5"/>
  <c r="F662" i="5"/>
  <c r="O786" i="5"/>
  <c r="P785" i="5"/>
  <c r="I758" i="5" l="1"/>
  <c r="J757" i="5"/>
  <c r="E664" i="5"/>
  <c r="F663" i="5"/>
  <c r="G759" i="5"/>
  <c r="H758" i="5"/>
  <c r="E759" i="5"/>
  <c r="F758" i="5"/>
  <c r="O787" i="5"/>
  <c r="P786" i="5"/>
  <c r="E760" i="5" l="1"/>
  <c r="F759" i="5"/>
  <c r="G760" i="5"/>
  <c r="H759" i="5"/>
  <c r="E665" i="5"/>
  <c r="F664" i="5"/>
  <c r="I759" i="5"/>
  <c r="J758" i="5"/>
  <c r="O788" i="5"/>
  <c r="P787" i="5"/>
  <c r="I760" i="5" l="1"/>
  <c r="J759" i="5"/>
  <c r="E666" i="5"/>
  <c r="F665" i="5"/>
  <c r="G761" i="5"/>
  <c r="H760" i="5"/>
  <c r="E761" i="5"/>
  <c r="F760" i="5"/>
  <c r="O789" i="5"/>
  <c r="P788" i="5"/>
  <c r="E762" i="5" l="1"/>
  <c r="F761" i="5"/>
  <c r="G762" i="5"/>
  <c r="H761" i="5"/>
  <c r="E667" i="5"/>
  <c r="F666" i="5"/>
  <c r="I761" i="5"/>
  <c r="J760" i="5"/>
  <c r="O790" i="5"/>
  <c r="P789" i="5"/>
  <c r="I762" i="5" l="1"/>
  <c r="J761" i="5"/>
  <c r="E668" i="5"/>
  <c r="F667" i="5"/>
  <c r="G763" i="5"/>
  <c r="H762" i="5"/>
  <c r="E763" i="5"/>
  <c r="F762" i="5"/>
  <c r="O791" i="5"/>
  <c r="P790" i="5"/>
  <c r="E764" i="5" l="1"/>
  <c r="F763" i="5"/>
  <c r="G764" i="5"/>
  <c r="H763" i="5"/>
  <c r="E669" i="5"/>
  <c r="F668" i="5"/>
  <c r="I763" i="5"/>
  <c r="J762" i="5"/>
  <c r="O792" i="5"/>
  <c r="P791" i="5"/>
  <c r="I764" i="5" l="1"/>
  <c r="J763" i="5"/>
  <c r="E670" i="5"/>
  <c r="F669" i="5"/>
  <c r="G765" i="5"/>
  <c r="H764" i="5"/>
  <c r="E765" i="5"/>
  <c r="F764" i="5"/>
  <c r="O793" i="5"/>
  <c r="P792" i="5"/>
  <c r="E766" i="5" l="1"/>
  <c r="F765" i="5"/>
  <c r="E671" i="5"/>
  <c r="F670" i="5"/>
  <c r="G766" i="5"/>
  <c r="H765" i="5"/>
  <c r="I765" i="5"/>
  <c r="J764" i="5"/>
  <c r="O794" i="5"/>
  <c r="P793" i="5"/>
  <c r="I766" i="5" l="1"/>
  <c r="J765" i="5"/>
  <c r="G767" i="5"/>
  <c r="H766" i="5"/>
  <c r="E672" i="5"/>
  <c r="F671" i="5"/>
  <c r="E767" i="5"/>
  <c r="F766" i="5"/>
  <c r="O795" i="5"/>
  <c r="P794" i="5"/>
  <c r="E768" i="5" l="1"/>
  <c r="F767" i="5"/>
  <c r="E673" i="5"/>
  <c r="F672" i="5"/>
  <c r="G768" i="5"/>
  <c r="H767" i="5"/>
  <c r="I767" i="5"/>
  <c r="J766" i="5"/>
  <c r="O796" i="5"/>
  <c r="P795" i="5"/>
  <c r="I768" i="5" l="1"/>
  <c r="J767" i="5"/>
  <c r="G769" i="5"/>
  <c r="H768" i="5"/>
  <c r="E674" i="5"/>
  <c r="F673" i="5"/>
  <c r="E769" i="5"/>
  <c r="F768" i="5"/>
  <c r="O797" i="5"/>
  <c r="P796" i="5"/>
  <c r="E770" i="5" l="1"/>
  <c r="F769" i="5"/>
  <c r="E675" i="5"/>
  <c r="F674" i="5"/>
  <c r="G770" i="5"/>
  <c r="H769" i="5"/>
  <c r="I769" i="5"/>
  <c r="J768" i="5"/>
  <c r="O798" i="5"/>
  <c r="P797" i="5"/>
  <c r="I770" i="5" l="1"/>
  <c r="J769" i="5"/>
  <c r="G771" i="5"/>
  <c r="H770" i="5"/>
  <c r="E676" i="5"/>
  <c r="F675" i="5"/>
  <c r="E771" i="5"/>
  <c r="F770" i="5"/>
  <c r="O799" i="5"/>
  <c r="P798" i="5"/>
  <c r="I771" i="5" l="1"/>
  <c r="J770" i="5"/>
  <c r="E772" i="5"/>
  <c r="F771" i="5"/>
  <c r="E677" i="5"/>
  <c r="F676" i="5"/>
  <c r="G772" i="5"/>
  <c r="H771" i="5"/>
  <c r="O800" i="5"/>
  <c r="P799" i="5"/>
  <c r="I772" i="5" l="1"/>
  <c r="J771" i="5"/>
  <c r="G773" i="5"/>
  <c r="H772" i="5"/>
  <c r="E678" i="5"/>
  <c r="F677" i="5"/>
  <c r="E773" i="5"/>
  <c r="F772" i="5"/>
  <c r="O801" i="5"/>
  <c r="P800" i="5"/>
  <c r="I773" i="5" l="1"/>
  <c r="J772" i="5"/>
  <c r="E774" i="5"/>
  <c r="F773" i="5"/>
  <c r="E679" i="5"/>
  <c r="F678" i="5"/>
  <c r="G774" i="5"/>
  <c r="H773" i="5"/>
  <c r="O802" i="5"/>
  <c r="P801" i="5"/>
  <c r="E775" i="5" l="1"/>
  <c r="F774" i="5"/>
  <c r="G775" i="5"/>
  <c r="H774" i="5"/>
  <c r="E680" i="5"/>
  <c r="F679" i="5"/>
  <c r="I774" i="5"/>
  <c r="J773" i="5"/>
  <c r="O803" i="5"/>
  <c r="P802" i="5"/>
  <c r="I775" i="5" l="1"/>
  <c r="J774" i="5"/>
  <c r="E681" i="5"/>
  <c r="F680" i="5"/>
  <c r="G776" i="5"/>
  <c r="H775" i="5"/>
  <c r="E776" i="5"/>
  <c r="F775" i="5"/>
  <c r="O804" i="5"/>
  <c r="P803" i="5"/>
  <c r="E777" i="5" l="1"/>
  <c r="F776" i="5"/>
  <c r="G777" i="5"/>
  <c r="H776" i="5"/>
  <c r="E682" i="5"/>
  <c r="F681" i="5"/>
  <c r="I776" i="5"/>
  <c r="J775" i="5"/>
  <c r="O805" i="5"/>
  <c r="P804" i="5"/>
  <c r="I777" i="5" l="1"/>
  <c r="J776" i="5"/>
  <c r="E683" i="5"/>
  <c r="F682" i="5"/>
  <c r="G778" i="5"/>
  <c r="H777" i="5"/>
  <c r="E778" i="5"/>
  <c r="F777" i="5"/>
  <c r="O806" i="5"/>
  <c r="P805" i="5"/>
  <c r="E779" i="5" l="1"/>
  <c r="F778" i="5"/>
  <c r="G779" i="5"/>
  <c r="H778" i="5"/>
  <c r="E684" i="5"/>
  <c r="F683" i="5"/>
  <c r="I778" i="5"/>
  <c r="J777" i="5"/>
  <c r="O807" i="5"/>
  <c r="P806" i="5"/>
  <c r="I779" i="5" l="1"/>
  <c r="J778" i="5"/>
  <c r="E685" i="5"/>
  <c r="F684" i="5"/>
  <c r="G780" i="5"/>
  <c r="H779" i="5"/>
  <c r="E780" i="5"/>
  <c r="F779" i="5"/>
  <c r="O808" i="5"/>
  <c r="P807" i="5"/>
  <c r="E781" i="5" l="1"/>
  <c r="F780" i="5"/>
  <c r="G781" i="5"/>
  <c r="H780" i="5"/>
  <c r="E686" i="5"/>
  <c r="F685" i="5"/>
  <c r="I780" i="5"/>
  <c r="J779" i="5"/>
  <c r="O809" i="5"/>
  <c r="P808" i="5"/>
  <c r="E687" i="5" l="1"/>
  <c r="F686" i="5"/>
  <c r="G782" i="5"/>
  <c r="H781" i="5"/>
  <c r="I781" i="5"/>
  <c r="J780" i="5"/>
  <c r="E782" i="5"/>
  <c r="F781" i="5"/>
  <c r="O810" i="5"/>
  <c r="P809" i="5"/>
  <c r="E783" i="5" l="1"/>
  <c r="F782" i="5"/>
  <c r="I782" i="5"/>
  <c r="J781" i="5"/>
  <c r="G783" i="5"/>
  <c r="H782" i="5"/>
  <c r="E688" i="5"/>
  <c r="F687" i="5"/>
  <c r="O811" i="5"/>
  <c r="P810" i="5"/>
  <c r="E689" i="5" l="1"/>
  <c r="F688" i="5"/>
  <c r="G784" i="5"/>
  <c r="H783" i="5"/>
  <c r="I783" i="5"/>
  <c r="J782" i="5"/>
  <c r="E784" i="5"/>
  <c r="F783" i="5"/>
  <c r="O812" i="5"/>
  <c r="P811" i="5"/>
  <c r="I784" i="5" l="1"/>
  <c r="J783" i="5"/>
  <c r="E785" i="5"/>
  <c r="F784" i="5"/>
  <c r="G785" i="5"/>
  <c r="H784" i="5"/>
  <c r="E690" i="5"/>
  <c r="F689" i="5"/>
  <c r="O813" i="5"/>
  <c r="P812" i="5"/>
  <c r="E691" i="5" l="1"/>
  <c r="F690" i="5"/>
  <c r="G786" i="5"/>
  <c r="H785" i="5"/>
  <c r="E786" i="5"/>
  <c r="F785" i="5"/>
  <c r="I785" i="5"/>
  <c r="J784" i="5"/>
  <c r="O814" i="5"/>
  <c r="P813" i="5"/>
  <c r="I786" i="5" l="1"/>
  <c r="J785" i="5"/>
  <c r="E787" i="5"/>
  <c r="F786" i="5"/>
  <c r="G787" i="5"/>
  <c r="H786" i="5"/>
  <c r="E692" i="5"/>
  <c r="F691" i="5"/>
  <c r="O815" i="5"/>
  <c r="P814" i="5"/>
  <c r="E693" i="5" l="1"/>
  <c r="F692" i="5"/>
  <c r="G788" i="5"/>
  <c r="H787" i="5"/>
  <c r="E788" i="5"/>
  <c r="F787" i="5"/>
  <c r="I787" i="5"/>
  <c r="J786" i="5"/>
  <c r="O816" i="5"/>
  <c r="P815" i="5"/>
  <c r="I788" i="5" l="1"/>
  <c r="J787" i="5"/>
  <c r="E789" i="5"/>
  <c r="F788" i="5"/>
  <c r="G789" i="5"/>
  <c r="H788" i="5"/>
  <c r="E694" i="5"/>
  <c r="F693" i="5"/>
  <c r="O817" i="5"/>
  <c r="P816" i="5"/>
  <c r="E695" i="5" l="1"/>
  <c r="F694" i="5"/>
  <c r="G790" i="5"/>
  <c r="H789" i="5"/>
  <c r="E790" i="5"/>
  <c r="F789" i="5"/>
  <c r="I789" i="5"/>
  <c r="J788" i="5"/>
  <c r="O818" i="5"/>
  <c r="P817" i="5"/>
  <c r="I790" i="5" l="1"/>
  <c r="J789" i="5"/>
  <c r="E791" i="5"/>
  <c r="F790" i="5"/>
  <c r="G791" i="5"/>
  <c r="H790" i="5"/>
  <c r="E696" i="5"/>
  <c r="F695" i="5"/>
  <c r="O819" i="5"/>
  <c r="P818" i="5"/>
  <c r="E697" i="5" l="1"/>
  <c r="F696" i="5"/>
  <c r="G792" i="5"/>
  <c r="H791" i="5"/>
  <c r="E792" i="5"/>
  <c r="F791" i="5"/>
  <c r="I791" i="5"/>
  <c r="J790" i="5"/>
  <c r="O820" i="5"/>
  <c r="P819" i="5"/>
  <c r="I792" i="5" l="1"/>
  <c r="J791" i="5"/>
  <c r="E793" i="5"/>
  <c r="F792" i="5"/>
  <c r="G793" i="5"/>
  <c r="H792" i="5"/>
  <c r="E698" i="5"/>
  <c r="F697" i="5"/>
  <c r="O821" i="5"/>
  <c r="P820" i="5"/>
  <c r="E699" i="5" l="1"/>
  <c r="F698" i="5"/>
  <c r="G794" i="5"/>
  <c r="H793" i="5"/>
  <c r="E794" i="5"/>
  <c r="F793" i="5"/>
  <c r="I793" i="5"/>
  <c r="J792" i="5"/>
  <c r="O822" i="5"/>
  <c r="P821" i="5"/>
  <c r="I794" i="5" l="1"/>
  <c r="J793" i="5"/>
  <c r="E795" i="5"/>
  <c r="F794" i="5"/>
  <c r="G795" i="5"/>
  <c r="H794" i="5"/>
  <c r="E700" i="5"/>
  <c r="F699" i="5"/>
  <c r="O823" i="5"/>
  <c r="P822" i="5"/>
  <c r="E701" i="5" l="1"/>
  <c r="F700" i="5"/>
  <c r="G796" i="5"/>
  <c r="H795" i="5"/>
  <c r="E796" i="5"/>
  <c r="F795" i="5"/>
  <c r="I795" i="5"/>
  <c r="J794" i="5"/>
  <c r="O824" i="5"/>
  <c r="P823" i="5"/>
  <c r="I796" i="5" l="1"/>
  <c r="J795" i="5"/>
  <c r="E797" i="5"/>
  <c r="F796" i="5"/>
  <c r="G797" i="5"/>
  <c r="H796" i="5"/>
  <c r="E702" i="5"/>
  <c r="F701" i="5"/>
  <c r="O825" i="5"/>
  <c r="P824" i="5"/>
  <c r="E703" i="5" l="1"/>
  <c r="F702" i="5"/>
  <c r="G798" i="5"/>
  <c r="H797" i="5"/>
  <c r="E798" i="5"/>
  <c r="F797" i="5"/>
  <c r="I797" i="5"/>
  <c r="J796" i="5"/>
  <c r="O826" i="5"/>
  <c r="P825" i="5"/>
  <c r="I798" i="5" l="1"/>
  <c r="J797" i="5"/>
  <c r="E799" i="5"/>
  <c r="F798" i="5"/>
  <c r="G799" i="5"/>
  <c r="H798" i="5"/>
  <c r="E704" i="5"/>
  <c r="F703" i="5"/>
  <c r="O827" i="5"/>
  <c r="P826" i="5"/>
  <c r="E705" i="5" l="1"/>
  <c r="F704" i="5"/>
  <c r="G800" i="5"/>
  <c r="H799" i="5"/>
  <c r="E800" i="5"/>
  <c r="F799" i="5"/>
  <c r="I799" i="5"/>
  <c r="J798" i="5"/>
  <c r="O828" i="5"/>
  <c r="P827" i="5"/>
  <c r="I800" i="5" l="1"/>
  <c r="J799" i="5"/>
  <c r="E801" i="5"/>
  <c r="F800" i="5"/>
  <c r="G801" i="5"/>
  <c r="H800" i="5"/>
  <c r="E706" i="5"/>
  <c r="F705" i="5"/>
  <c r="O829" i="5"/>
  <c r="P828" i="5"/>
  <c r="E707" i="5" l="1"/>
  <c r="F706" i="5"/>
  <c r="G802" i="5"/>
  <c r="H801" i="5"/>
  <c r="E802" i="5"/>
  <c r="F801" i="5"/>
  <c r="I801" i="5"/>
  <c r="J800" i="5"/>
  <c r="O830" i="5"/>
  <c r="P829" i="5"/>
  <c r="I802" i="5" l="1"/>
  <c r="J801" i="5"/>
  <c r="E803" i="5"/>
  <c r="F802" i="5"/>
  <c r="G803" i="5"/>
  <c r="H802" i="5"/>
  <c r="E708" i="5"/>
  <c r="F707" i="5"/>
  <c r="O831" i="5"/>
  <c r="P830" i="5"/>
  <c r="E709" i="5" l="1"/>
  <c r="F708" i="5"/>
  <c r="G804" i="5"/>
  <c r="H803" i="5"/>
  <c r="E804" i="5"/>
  <c r="F803" i="5"/>
  <c r="I803" i="5"/>
  <c r="J802" i="5"/>
  <c r="O832" i="5"/>
  <c r="P832" i="5" s="1"/>
  <c r="P831" i="5"/>
  <c r="I804" i="5" l="1"/>
  <c r="J803" i="5"/>
  <c r="E805" i="5"/>
  <c r="F804" i="5"/>
  <c r="G805" i="5"/>
  <c r="H804" i="5"/>
  <c r="E710" i="5"/>
  <c r="F709" i="5"/>
  <c r="E711" i="5" l="1"/>
  <c r="F710" i="5"/>
  <c r="G806" i="5"/>
  <c r="H805" i="5"/>
  <c r="E806" i="5"/>
  <c r="F805" i="5"/>
  <c r="I805" i="5"/>
  <c r="J804" i="5"/>
  <c r="E807" i="5" l="1"/>
  <c r="F806" i="5"/>
  <c r="I806" i="5"/>
  <c r="J805" i="5"/>
  <c r="G807" i="5"/>
  <c r="H806" i="5"/>
  <c r="E712" i="5"/>
  <c r="F711" i="5"/>
  <c r="E713" i="5" l="1"/>
  <c r="F712" i="5"/>
  <c r="G808" i="5"/>
  <c r="H807" i="5"/>
  <c r="I807" i="5"/>
  <c r="J806" i="5"/>
  <c r="E808" i="5"/>
  <c r="F807" i="5"/>
  <c r="E809" i="5" l="1"/>
  <c r="F808" i="5"/>
  <c r="I808" i="5"/>
  <c r="J807" i="5"/>
  <c r="G809" i="5"/>
  <c r="H808" i="5"/>
  <c r="E714" i="5"/>
  <c r="F713" i="5"/>
  <c r="E715" i="5" l="1"/>
  <c r="F714" i="5"/>
  <c r="G810" i="5"/>
  <c r="H809" i="5"/>
  <c r="I809" i="5"/>
  <c r="J808" i="5"/>
  <c r="E810" i="5"/>
  <c r="F809" i="5"/>
  <c r="E811" i="5" l="1"/>
  <c r="F810" i="5"/>
  <c r="I810" i="5"/>
  <c r="J809" i="5"/>
  <c r="G811" i="5"/>
  <c r="H810" i="5"/>
  <c r="E716" i="5"/>
  <c r="F715" i="5"/>
  <c r="E812" i="5" l="1"/>
  <c r="F811" i="5"/>
  <c r="E717" i="5"/>
  <c r="F716" i="5"/>
  <c r="G812" i="5"/>
  <c r="H811" i="5"/>
  <c r="I811" i="5"/>
  <c r="J810" i="5"/>
  <c r="I812" i="5" l="1"/>
  <c r="J811" i="5"/>
  <c r="G813" i="5"/>
  <c r="H812" i="5"/>
  <c r="E718" i="5"/>
  <c r="F717" i="5"/>
  <c r="E813" i="5"/>
  <c r="F812" i="5"/>
  <c r="I813" i="5" l="1"/>
  <c r="J812" i="5"/>
  <c r="E814" i="5"/>
  <c r="F813" i="5"/>
  <c r="E719" i="5"/>
  <c r="F718" i="5"/>
  <c r="G814" i="5"/>
  <c r="H813" i="5"/>
  <c r="I814" i="5" l="1"/>
  <c r="J813" i="5"/>
  <c r="G815" i="5"/>
  <c r="H814" i="5"/>
  <c r="E720" i="5"/>
  <c r="F719" i="5"/>
  <c r="E815" i="5"/>
  <c r="F814" i="5"/>
  <c r="I815" i="5" l="1"/>
  <c r="J814" i="5"/>
  <c r="E816" i="5"/>
  <c r="F815" i="5"/>
  <c r="E721" i="5"/>
  <c r="F720" i="5"/>
  <c r="G816" i="5"/>
  <c r="H815" i="5"/>
  <c r="G817" i="5" l="1"/>
  <c r="H816" i="5"/>
  <c r="E722" i="5"/>
  <c r="F721" i="5"/>
  <c r="E817" i="5"/>
  <c r="F816" i="5"/>
  <c r="I816" i="5"/>
  <c r="J815" i="5"/>
  <c r="G818" i="5" l="1"/>
  <c r="H817" i="5"/>
  <c r="I817" i="5"/>
  <c r="J816" i="5"/>
  <c r="E818" i="5"/>
  <c r="F817" i="5"/>
  <c r="E723" i="5"/>
  <c r="F722" i="5"/>
  <c r="E819" i="5" l="1"/>
  <c r="F818" i="5"/>
  <c r="I818" i="5"/>
  <c r="J817" i="5"/>
  <c r="E724" i="5"/>
  <c r="F723" i="5"/>
  <c r="G819" i="5"/>
  <c r="H818" i="5"/>
  <c r="G820" i="5" l="1"/>
  <c r="H819" i="5"/>
  <c r="E725" i="5"/>
  <c r="F724" i="5"/>
  <c r="I819" i="5"/>
  <c r="J818" i="5"/>
  <c r="E820" i="5"/>
  <c r="F819" i="5"/>
  <c r="E821" i="5" l="1"/>
  <c r="F820" i="5"/>
  <c r="E726" i="5"/>
  <c r="F726" i="5" s="1"/>
  <c r="F725" i="5"/>
  <c r="I820" i="5"/>
  <c r="J819" i="5"/>
  <c r="G821" i="5"/>
  <c r="H820" i="5"/>
  <c r="G822" i="5" l="1"/>
  <c r="H821" i="5"/>
  <c r="I821" i="5"/>
  <c r="J820" i="5"/>
  <c r="E822" i="5"/>
  <c r="F821" i="5"/>
  <c r="E823" i="5" l="1"/>
  <c r="F822" i="5"/>
  <c r="I822" i="5"/>
  <c r="J821" i="5"/>
  <c r="G823" i="5"/>
  <c r="H822" i="5"/>
  <c r="G824" i="5" l="1"/>
  <c r="H823" i="5"/>
  <c r="I823" i="5"/>
  <c r="J822" i="5"/>
  <c r="E824" i="5"/>
  <c r="F823" i="5"/>
  <c r="G825" i="5" l="1"/>
  <c r="H824" i="5"/>
  <c r="E825" i="5"/>
  <c r="F824" i="5"/>
  <c r="I824" i="5"/>
  <c r="J823" i="5"/>
  <c r="G826" i="5" l="1"/>
  <c r="H825" i="5"/>
  <c r="I825" i="5"/>
  <c r="J824" i="5"/>
  <c r="E826" i="5"/>
  <c r="F825" i="5"/>
  <c r="E827" i="5" l="1"/>
  <c r="F826" i="5"/>
  <c r="I826" i="5"/>
  <c r="J825" i="5"/>
  <c r="G827" i="5"/>
  <c r="H826" i="5"/>
  <c r="E828" i="5" l="1"/>
  <c r="F827" i="5"/>
  <c r="G828" i="5"/>
  <c r="H827" i="5"/>
  <c r="I827" i="5"/>
  <c r="J826" i="5"/>
  <c r="G829" i="5" l="1"/>
  <c r="H828" i="5"/>
  <c r="I828" i="5"/>
  <c r="J827" i="5"/>
  <c r="E829" i="5"/>
  <c r="F828" i="5"/>
  <c r="E830" i="5" l="1"/>
  <c r="F829" i="5"/>
  <c r="I829" i="5"/>
  <c r="J828" i="5"/>
  <c r="G830" i="5"/>
  <c r="H829" i="5"/>
  <c r="G831" i="5" l="1"/>
  <c r="H830" i="5"/>
  <c r="I830" i="5"/>
  <c r="J829" i="5"/>
  <c r="E831" i="5"/>
  <c r="F830" i="5"/>
  <c r="E832" i="5" l="1"/>
  <c r="F832" i="5" s="1"/>
  <c r="F831" i="5"/>
  <c r="I831" i="5"/>
  <c r="J830" i="5"/>
  <c r="G832" i="5"/>
  <c r="H832" i="5" s="1"/>
  <c r="H831" i="5"/>
  <c r="I832" i="5" l="1"/>
  <c r="J832" i="5" s="1"/>
  <c r="J831" i="5"/>
</calcChain>
</file>

<file path=xl/sharedStrings.xml><?xml version="1.0" encoding="utf-8"?>
<sst xmlns="http://schemas.openxmlformats.org/spreadsheetml/2006/main" count="2756" uniqueCount="547">
  <si>
    <t>INFORMACIÓN GENERAL DEL RESULTADO DE LA CALIBRACIÓN</t>
  </si>
  <si>
    <t>Empresa solicitante:</t>
  </si>
  <si>
    <t>Dirección del solicitante:</t>
  </si>
  <si>
    <t>Nombre del contacto:</t>
  </si>
  <si>
    <t>Teléfono del contacto:</t>
  </si>
  <si>
    <t>Tipo de servicio:</t>
  </si>
  <si>
    <t>Lugar de ejecución del servicio:</t>
  </si>
  <si>
    <t>Calibración en sitio</t>
  </si>
  <si>
    <t>Instalación de MB Metrología S.A.S.</t>
  </si>
  <si>
    <t>Fabricante:</t>
  </si>
  <si>
    <t>Modelo:</t>
  </si>
  <si>
    <t>Serie:</t>
  </si>
  <si>
    <t>Código de identificación interna:</t>
  </si>
  <si>
    <t>División nominal de escala:</t>
  </si>
  <si>
    <t>Intervalo nominal de medición:</t>
  </si>
  <si>
    <t>Intervalo nominal de calibración:</t>
  </si>
  <si>
    <t>°C</t>
  </si>
  <si>
    <t>Fecha de recepción del ítem:</t>
  </si>
  <si>
    <t>Fecha de emisión del informe:</t>
  </si>
  <si>
    <t>Servicio acreditado:</t>
  </si>
  <si>
    <t>Dirección del servicio en sitio:</t>
  </si>
  <si>
    <t>INFORMACIÓN DEL SISTEMA DE MEDICIÓN USADO</t>
  </si>
  <si>
    <t>Código interno:</t>
  </si>
  <si>
    <t>Instrumento:</t>
  </si>
  <si>
    <t>Fecha de próxima calibración:</t>
  </si>
  <si>
    <t>Código del último certificado:</t>
  </si>
  <si>
    <t>Fecha de última calibración:</t>
  </si>
  <si>
    <t>Resolución:</t>
  </si>
  <si>
    <t>Magnitud bajo 
medición:</t>
  </si>
  <si>
    <t>SENSOR DE TEMPERATURA AMBIENTE</t>
  </si>
  <si>
    <t>Laboratorio que realizó 
la última calibración:</t>
  </si>
  <si>
    <t>SENSOR DE HUMEDAD RELATIVA</t>
  </si>
  <si>
    <t>Código interno</t>
  </si>
  <si>
    <t>Instrumento</t>
  </si>
  <si>
    <t>Magnitud bajo medición</t>
  </si>
  <si>
    <t>Resolución</t>
  </si>
  <si>
    <t>Fecha de última calibración</t>
  </si>
  <si>
    <t>Laboratorio que realizó la última calibración</t>
  </si>
  <si>
    <t>Código del último certificado de calibración</t>
  </si>
  <si>
    <t>Fecha de próxima calibración</t>
  </si>
  <si>
    <t>P015-1</t>
  </si>
  <si>
    <t>P015-2</t>
  </si>
  <si>
    <t>P015-3</t>
  </si>
  <si>
    <t>Termómetro RTD tipo PT100</t>
  </si>
  <si>
    <t>Temperatura</t>
  </si>
  <si>
    <t>Temperatura ambiente</t>
  </si>
  <si>
    <t>Humedad relativa</t>
  </si>
  <si>
    <t>La fila al final de la tabla contiene lo indicadores de columna usados en la función buscarv</t>
  </si>
  <si>
    <t>%hr</t>
  </si>
  <si>
    <t>SH23-58634</t>
  </si>
  <si>
    <t>SERVIHOY</t>
  </si>
  <si>
    <t>SH23-58066</t>
  </si>
  <si>
    <t>P004-2</t>
  </si>
  <si>
    <t>P004-5</t>
  </si>
  <si>
    <t>Termohigrómetro digital</t>
  </si>
  <si>
    <t>MEBI metrología biomédica</t>
  </si>
  <si>
    <t>Persona que autoriza el informe:</t>
  </si>
  <si>
    <t>Cargo de la persona que autoriza:</t>
  </si>
  <si>
    <t>Factor de cobertura</t>
  </si>
  <si>
    <t>Lugar de calibración</t>
  </si>
  <si>
    <t>Resultados de la última calibración</t>
  </si>
  <si>
    <t>Resultados de la penúltima calibración</t>
  </si>
  <si>
    <t>Curva de regresión</t>
  </si>
  <si>
    <t>Término constante</t>
  </si>
  <si>
    <t>Término lineal</t>
  </si>
  <si>
    <t>Término cuadrático</t>
  </si>
  <si>
    <r>
      <t>°C</t>
    </r>
    <r>
      <rPr>
        <vertAlign val="superscript"/>
        <sz val="11"/>
        <color theme="1"/>
        <rFont val="Calibri"/>
        <family val="2"/>
        <scheme val="minor"/>
      </rPr>
      <t>-1</t>
    </r>
  </si>
  <si>
    <t>Indicación del IBC, [°C]</t>
  </si>
  <si>
    <t>Indicación del patrón, [°C]</t>
  </si>
  <si>
    <t>Corrección a la indicación, [°C]</t>
  </si>
  <si>
    <t>Incertidumbre expandida, [°C]</t>
  </si>
  <si>
    <r>
      <t>Coeficiente de correlación R</t>
    </r>
    <r>
      <rPr>
        <vertAlign val="superscript"/>
        <sz val="11"/>
        <color theme="0"/>
        <rFont val="Calibri"/>
        <family val="2"/>
        <scheme val="minor"/>
      </rPr>
      <t>2</t>
    </r>
  </si>
  <si>
    <t>Adimensional</t>
  </si>
  <si>
    <t>Paso de gráfica</t>
  </si>
  <si>
    <t>DATOS PARA LAS GRÁFICAS DE LAS REGRESIONES</t>
  </si>
  <si>
    <t>Indicación, [°C]</t>
  </si>
  <si>
    <t>Corrección, [°C]</t>
  </si>
  <si>
    <t>Deriva de la corrección, [°C]</t>
  </si>
  <si>
    <t>Mediciones en esta calibración</t>
  </si>
  <si>
    <t>Corrección, deriva, incertidumbre expandida y factor de cobertura</t>
  </si>
  <si>
    <t>Corrección según la regresión, [°C]</t>
  </si>
  <si>
    <t>Error estándar residual</t>
  </si>
  <si>
    <t>2022-10-13 y 2022-10-24</t>
  </si>
  <si>
    <t>2022-08-23 y 2022-11-09</t>
  </si>
  <si>
    <t>Indicación corregida, [°C]</t>
  </si>
  <si>
    <t>Resultados de la última calibración del sensor de temperatura ambiente</t>
  </si>
  <si>
    <t>Puntos de medición</t>
  </si>
  <si>
    <t>Corrección para el sensor de temperatura ambiente</t>
  </si>
  <si>
    <t>Temperatura ambiente final de calibración</t>
  </si>
  <si>
    <t>Temperatura ambiente inicial de calibración</t>
  </si>
  <si>
    <t>Resultados de la última calibración del sensor de humedad relativa</t>
  </si>
  <si>
    <t>Indicación del patrón, [%hr]</t>
  </si>
  <si>
    <t>Indicación del IBC, [%hr]</t>
  </si>
  <si>
    <t>Corrección a la indicación, [%hr]</t>
  </si>
  <si>
    <t>Incertidumbre expandida, [%hr]</t>
  </si>
  <si>
    <t>Corrección según la regresión, [%hr]</t>
  </si>
  <si>
    <t>Indicación, [%hr]</t>
  </si>
  <si>
    <t>Corrección, [%hr]</t>
  </si>
  <si>
    <t>Termohigrómetro P004-2 (t.amb)</t>
  </si>
  <si>
    <t>Termohigrómetro P004-2 (h.rel)</t>
  </si>
  <si>
    <t>REGRESIÓN DE LOS ERRORES DE INDICACIÓN DEL TERMOHIGRÓMETRO P004-5</t>
  </si>
  <si>
    <t>Termohigrómetro P004-5 (t.amb)</t>
  </si>
  <si>
    <t>Termohigrómetro P004-5 (h.rel)</t>
  </si>
  <si>
    <t>REGRESIÓN DE LAS CORRECCIONES A LA INDICACIÓN DEL TERMÓMETRO P015-1</t>
  </si>
  <si>
    <t>REGRESIÓN DE LAS CORRECIONES A LA INDICACIÓN DEL TERMÓMETRO P015-2</t>
  </si>
  <si>
    <t>REGRESIÓN DE LAS CORRECCIONES A LA INDICACIÓN DEL TERMÓMETRO P015-3</t>
  </si>
  <si>
    <t>REGRESIÓN DE LAS CORRECCIONES A LA INDICACIÓN DEL TERMOHIGRÓMETRO P004-2</t>
  </si>
  <si>
    <t>Humedad relativa inicial de calibración</t>
  </si>
  <si>
    <t>Humedad relativa final de calibración</t>
  </si>
  <si>
    <t>TOMA DE DATOS</t>
  </si>
  <si>
    <t>CONDICIONES AMBIENTALES AL INICIO DE LA CALIBRACIÓN</t>
  </si>
  <si>
    <t>OPERACIONES PREVIAS</t>
  </si>
  <si>
    <t>CONDICIONES AMBIENTALES AL FINAL DE LA CALIBRACIÓN</t>
  </si>
  <si>
    <t>CORRECCIONES A LA INDICACIÓN DETERMINADAS EN LA CALIBRACIÓN</t>
  </si>
  <si>
    <t>CONDICIONES AMBIENTALES CORREGIDAS AL INICIO DE LA CALIBRACIÓN</t>
  </si>
  <si>
    <t>CONDICIONES AMBIENTALES CORREGIDAS AL FINAL DE LA CALIBRACIÓN</t>
  </si>
  <si>
    <t>Corrección para el sensor de humedad relativa</t>
  </si>
  <si>
    <t>Indicación corregida, [%hr]</t>
  </si>
  <si>
    <t>Fecha de penúltima calibración:</t>
  </si>
  <si>
    <t>¿Las lecturas del IBC son legibles?</t>
  </si>
  <si>
    <t>¿El termohigrómetro está ubicado cerca al montaje de calibración?</t>
  </si>
  <si>
    <t>GRÁFICA DE LAS CORRECCIONES A LA INDICACIÓN</t>
  </si>
  <si>
    <t>Resultados de calibración:</t>
  </si>
  <si>
    <t>Curva de regresión:</t>
  </si>
  <si>
    <t>Valores interpolados:</t>
  </si>
  <si>
    <t>PRESUPUESTO DE INCERTIDUMBRE</t>
  </si>
  <si>
    <t>Distribución de probabilidad</t>
  </si>
  <si>
    <t>Grados efectivos de libertad</t>
  </si>
  <si>
    <t>Grados de libertad</t>
  </si>
  <si>
    <t>Descripción</t>
  </si>
  <si>
    <t>Fuentes de incertidumbre</t>
  </si>
  <si>
    <t>Fuente de la información</t>
  </si>
  <si>
    <t>Incertidumbre estándar</t>
  </si>
  <si>
    <t>Coeficiente de sensibilidad</t>
  </si>
  <si>
    <t>Contribución cuadrática</t>
  </si>
  <si>
    <t>Primer punto de calibración</t>
  </si>
  <si>
    <t>Valor</t>
  </si>
  <si>
    <t>Unidad</t>
  </si>
  <si>
    <t>Magnitud de entrada</t>
  </si>
  <si>
    <t>Tipo de evaluación</t>
  </si>
  <si>
    <t>Uniforme</t>
  </si>
  <si>
    <t>B</t>
  </si>
  <si>
    <t>Manual del instrumento</t>
  </si>
  <si>
    <t>Por última calibración</t>
  </si>
  <si>
    <t>Por deriva</t>
  </si>
  <si>
    <t>Por ajuste de regresión</t>
  </si>
  <si>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o normal</t>
    </r>
  </si>
  <si>
    <t>Normal</t>
  </si>
  <si>
    <t>Certificado de calibración</t>
  </si>
  <si>
    <t>Certificado de calibración y análisis estadístico</t>
  </si>
  <si>
    <t>Análisis de las mediciones</t>
  </si>
  <si>
    <t>Características 
del IBC</t>
  </si>
  <si>
    <t>Resolución usada en la calibración:</t>
  </si>
  <si>
    <t>Número del informe:</t>
  </si>
  <si>
    <t>Contribución lineal</t>
  </si>
  <si>
    <t>Incertidumbre combinada</t>
  </si>
  <si>
    <t>Incertidumbre expandida</t>
  </si>
  <si>
    <t>Incertidumbre propagada para el primer punto de calibración</t>
  </si>
  <si>
    <t>Probabilidad de cobertura</t>
  </si>
  <si>
    <t>Segundo punto de calibración</t>
  </si>
  <si>
    <t>Tercer punto de calibración</t>
  </si>
  <si>
    <t>Cuarto punto de calibración</t>
  </si>
  <si>
    <t>Quinto punto de calibración</t>
  </si>
  <si>
    <t>Sexto punto de calibración</t>
  </si>
  <si>
    <t>Séptimo punto de calibración</t>
  </si>
  <si>
    <t>Octavo punto de calibración</t>
  </si>
  <si>
    <t>Noveno punto de calibración</t>
  </si>
  <si>
    <t>Décimo punto de calibración</t>
  </si>
  <si>
    <t>A</t>
  </si>
  <si>
    <t>Indicación</t>
  </si>
  <si>
    <t>Fuente de incertidumbre</t>
  </si>
  <si>
    <t>CUADRO COMPARATIVO Y GRÁFICA DE INCERTIDUMBRE</t>
  </si>
  <si>
    <t>Octavo</t>
  </si>
  <si>
    <t>Punto de calibración</t>
  </si>
  <si>
    <t>Primero</t>
  </si>
  <si>
    <t>Segundo</t>
  </si>
  <si>
    <t>Tercero</t>
  </si>
  <si>
    <t>Cuarto</t>
  </si>
  <si>
    <t>Quinto</t>
  </si>
  <si>
    <t>Sexto</t>
  </si>
  <si>
    <t>Séptimo</t>
  </si>
  <si>
    <t>Noveno</t>
  </si>
  <si>
    <t>Décimo</t>
  </si>
  <si>
    <t>GRÁFICA DE INCERTIDUMBRE</t>
  </si>
  <si>
    <t>Punto de calibración para la gráfica:</t>
  </si>
  <si>
    <t>Indicación promedio 
del IBC</t>
  </si>
  <si>
    <t>Corrección a la indicación 
del IBC</t>
  </si>
  <si>
    <t>Incertidumbre expandida 
de la corrección</t>
  </si>
  <si>
    <t>Mayor incertidumbre observada:</t>
  </si>
  <si>
    <t>RESULTADOS DE CALIBRACIÓN</t>
  </si>
  <si>
    <t>Indicación nominal de calibración</t>
  </si>
  <si>
    <t>Corrección a la indicación</t>
  </si>
  <si>
    <t>REGRESIÓN DE LAS CORRECCIONES A LA INDICACIÓN DEL MANOVACUÓMETRO P006-2</t>
  </si>
  <si>
    <t>Término cúbico</t>
  </si>
  <si>
    <t>P006-2</t>
  </si>
  <si>
    <t>Presión relativa</t>
  </si>
  <si>
    <t>psi</t>
  </si>
  <si>
    <t>Indicación del patrón, [psi]</t>
  </si>
  <si>
    <t>Indicación del IBC, [psi]</t>
  </si>
  <si>
    <t>Corrección a la indicación, [psi]</t>
  </si>
  <si>
    <t>Incertidumbre expandida, [psi]</t>
  </si>
  <si>
    <t>Corrección según la regresión, [psi]</t>
  </si>
  <si>
    <r>
      <t>psi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</si>
  <si>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psi</t>
    </r>
    <r>
      <rPr>
        <vertAlign val="superscript"/>
        <sz val="11"/>
        <color theme="1"/>
        <rFont val="Calibri"/>
        <family val="2"/>
        <scheme val="minor"/>
      </rPr>
      <t>-2</t>
    </r>
  </si>
  <si>
    <t>REGRESIÓN DE LAS CORRECIONES A LA INDICACIÓN DEL MANÓMETRO P006-3</t>
  </si>
  <si>
    <t>P006-3</t>
  </si>
  <si>
    <t>P006-4</t>
  </si>
  <si>
    <t>REGRESIÓN DE LAS CORRECIONES A LA INDICACIÓN DEL MANÓMETRO P006-4</t>
  </si>
  <si>
    <t>mm</t>
  </si>
  <si>
    <t>Longitud</t>
  </si>
  <si>
    <t>Temp. del agua</t>
  </si>
  <si>
    <t>Unidades de presión</t>
  </si>
  <si>
    <t>bar</t>
  </si>
  <si>
    <t>Pa</t>
  </si>
  <si>
    <t>kPa</t>
  </si>
  <si>
    <t>atm</t>
  </si>
  <si>
    <t>cmHg</t>
  </si>
  <si>
    <r>
      <t>gf cm</t>
    </r>
    <r>
      <rPr>
        <vertAlign val="superscript"/>
        <sz val="11"/>
        <color theme="1"/>
        <rFont val="Calibri"/>
        <family val="2"/>
        <scheme val="minor"/>
      </rPr>
      <t>-2</t>
    </r>
  </si>
  <si>
    <r>
      <t>kgf cm</t>
    </r>
    <r>
      <rPr>
        <vertAlign val="superscript"/>
        <sz val="11"/>
        <color theme="1"/>
        <rFont val="Calibri"/>
        <family val="2"/>
        <scheme val="minor"/>
      </rPr>
      <t>-2</t>
    </r>
  </si>
  <si>
    <t>hPa</t>
  </si>
  <si>
    <t>Torr</t>
  </si>
  <si>
    <r>
      <t>dyn cm</t>
    </r>
    <r>
      <rPr>
        <vertAlign val="superscript"/>
        <sz val="11"/>
        <color theme="1"/>
        <rFont val="Calibri"/>
        <family val="2"/>
        <scheme val="minor"/>
      </rPr>
      <t>-2</t>
    </r>
  </si>
  <si>
    <t>mbar</t>
  </si>
  <si>
    <t>mmHg</t>
  </si>
  <si>
    <t>Factores de conversión</t>
  </si>
  <si>
    <t>MANÓMETRO O MANOVACUÓMETRO DE REFERENCIA</t>
  </si>
  <si>
    <t>TERMÓMETRO PARA TEMPERATURA DEL AGUA</t>
  </si>
  <si>
    <t>Generadores de presión</t>
  </si>
  <si>
    <t>Bomba neumática</t>
  </si>
  <si>
    <t>Bomba hidráulica</t>
  </si>
  <si>
    <t>Generador de presión usado:</t>
  </si>
  <si>
    <t>Clase de exactitud (según fabricante):</t>
  </si>
  <si>
    <t>Clase de exactitud (según cálculo):</t>
  </si>
  <si>
    <t>¿El instrumento está plenamente identificado?</t>
  </si>
  <si>
    <t>¿Se tomó registro de la diferencia de alturas en el montaje de calibración?</t>
  </si>
  <si>
    <t>¿Se desperezó el patrón de referencia y el IBC subiendo o bajando dos veces hasta el fondo de escala?</t>
  </si>
  <si>
    <t>¿Se comprobaron con el cliente los puntos de calibración del IBC?</t>
  </si>
  <si>
    <t>CALIBRACIÓN DE MANÓMETROS, VACUÓMETROS Y MANOVACUÓMETROS</t>
  </si>
  <si>
    <t>¿El montaje de calibración presenta fugas?</t>
  </si>
  <si>
    <t>Sección del intervalo</t>
  </si>
  <si>
    <t>EMP</t>
  </si>
  <si>
    <t>Cumple EMP</t>
  </si>
  <si>
    <t>COMPROBACIÓN INICIAL DEL IBC</t>
  </si>
  <si>
    <t>Sección inferior (1/3)</t>
  </si>
  <si>
    <t>Sección 
media (2/3)</t>
  </si>
  <si>
    <t>Sección 
alta (3/3)</t>
  </si>
  <si>
    <t>Inferior</t>
  </si>
  <si>
    <t>Media</t>
  </si>
  <si>
    <t>Alta</t>
  </si>
  <si>
    <t>INFORMACIÓN DEL MONTAJE DE MEDICIÓN</t>
  </si>
  <si>
    <t>Unidad de medición del patrón:</t>
  </si>
  <si>
    <t>Altura del IBC, [mm]:</t>
  </si>
  <si>
    <t>Altura del  patrón, [mm]:</t>
  </si>
  <si>
    <t>Primera serie de medición</t>
  </si>
  <si>
    <t>Segunda serie de medición</t>
  </si>
  <si>
    <t>Tercera serie de medición</t>
  </si>
  <si>
    <t>Prueba ascendente</t>
  </si>
  <si>
    <t>Prueba descendente</t>
  </si>
  <si>
    <t>Temperatura del agua, [°C]:</t>
  </si>
  <si>
    <t>Primera serie, prueba ascendente</t>
  </si>
  <si>
    <t>Primera medición,
prueba descendente</t>
  </si>
  <si>
    <t>Deriva de la corrección, [psi]</t>
  </si>
  <si>
    <t>Segunda medición,
prueba descendente</t>
  </si>
  <si>
    <t>Tercera serie,
 prueba ascendente</t>
  </si>
  <si>
    <t>Tercera medición,
prueba descendente</t>
  </si>
  <si>
    <t>Segunda serie, 
prueba ascendente</t>
  </si>
  <si>
    <t>Claves para las gráficas de regresión de los resultados de calibración del manovacuómetro P006-2</t>
  </si>
  <si>
    <t>Primera serie, 
prueba ascendente</t>
  </si>
  <si>
    <t>Claves para las gráficas de regresión de los resultados de calibración del manómetro P006-4</t>
  </si>
  <si>
    <t>Manómetro P006-3</t>
  </si>
  <si>
    <t>Manómetro P006-4</t>
  </si>
  <si>
    <t>Manovacuómetro P006-2</t>
  </si>
  <si>
    <t>Indicación, [psi]</t>
  </si>
  <si>
    <t>Corrección, [psi]</t>
  </si>
  <si>
    <t>Claves para las gráficas de regresión de los resultados de calibración del manómetro P006-3</t>
  </si>
  <si>
    <t>Indicación bajo calibración, [psi]</t>
  </si>
  <si>
    <t>Indicación 
del IBC, 
[psi]</t>
  </si>
  <si>
    <t>Descendente, [psi]</t>
  </si>
  <si>
    <t>Ascendente, [psi]</t>
  </si>
  <si>
    <t>Corrección a las indicaciones del IBC, por tipo de prueba y por serie</t>
  </si>
  <si>
    <t>Resultado de la calibración</t>
  </si>
  <si>
    <t>Indicación corregida del patrón, [psi]</t>
  </si>
  <si>
    <t>Indicación corregida promedio del patrón, [psi]</t>
  </si>
  <si>
    <t>Indicación promedio del IBC, [psi]</t>
  </si>
  <si>
    <t>Densidad del aire</t>
  </si>
  <si>
    <t>Constantes de la ecuación</t>
  </si>
  <si>
    <t>Condiciones ambientales promedio</t>
  </si>
  <si>
    <t>Promedio de la temperatura ambiente corregida, [°C]:</t>
  </si>
  <si>
    <t>Promedio de la humedad relativa corregida, [%hr]:</t>
  </si>
  <si>
    <t>Valor de referencia de la presión atmosférica, [hPa]:</t>
  </si>
  <si>
    <t>Densidad del agua</t>
  </si>
  <si>
    <r>
      <t>kg m</t>
    </r>
    <r>
      <rPr>
        <vertAlign val="superscript"/>
        <sz val="11"/>
        <color theme="1"/>
        <rFont val="Calibri"/>
        <family val="2"/>
        <scheme val="minor"/>
      </rPr>
      <t>-3</t>
    </r>
  </si>
  <si>
    <t>Temperatura del agua, [°C]</t>
  </si>
  <si>
    <t>Presión at., [hPa]</t>
  </si>
  <si>
    <t>Parámetros de la ecuación</t>
  </si>
  <si>
    <t>GRÁFICA DE HISTÉRESIS POR SERIE Y PROMEDIO</t>
  </si>
  <si>
    <t>Por resolución</t>
  </si>
  <si>
    <t>Presión atmosférica</t>
  </si>
  <si>
    <t>Por el valor de referencia</t>
  </si>
  <si>
    <t>Sobreestimación</t>
  </si>
  <si>
    <t>Incertidumbre de la ecuación</t>
  </si>
  <si>
    <t>Incertidumbre experimental</t>
  </si>
  <si>
    <t>normal</t>
  </si>
  <si>
    <t>Anexo A de la guía SIM MWG7/cg-01/v.00</t>
  </si>
  <si>
    <t>CORRECCIONES A LA INDICACIÓN</t>
  </si>
  <si>
    <t>Temperatura del agua</t>
  </si>
  <si>
    <r>
      <t>kg °C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m</t>
    </r>
    <r>
      <rPr>
        <vertAlign val="superscript"/>
        <sz val="11"/>
        <color theme="1"/>
        <rFont val="Calibri"/>
        <family val="2"/>
        <scheme val="minor"/>
      </rPr>
      <t>-3</t>
    </r>
  </si>
  <si>
    <r>
      <t>kg hPa m</t>
    </r>
    <r>
      <rPr>
        <vertAlign val="superscript"/>
        <sz val="11"/>
        <color theme="1"/>
        <rFont val="Calibri"/>
        <family val="2"/>
        <scheme val="minor"/>
      </rPr>
      <t>-3</t>
    </r>
  </si>
  <si>
    <r>
      <t>kg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</t>
    </r>
    <r>
      <rPr>
        <vertAlign val="superscript"/>
        <sz val="11"/>
        <color theme="1"/>
        <rFont val="Calibri"/>
        <family val="2"/>
        <scheme val="minor"/>
      </rPr>
      <t>-6</t>
    </r>
  </si>
  <si>
    <t>Presión de referencia</t>
  </si>
  <si>
    <t>Diferencia en el 
nivel de referencia</t>
  </si>
  <si>
    <t>Cintas métricas</t>
  </si>
  <si>
    <t>Seguimiento metrológico</t>
  </si>
  <si>
    <t>Especificaciones del fabricante</t>
  </si>
  <si>
    <t>Procedimiento ME-003 del CEM</t>
  </si>
  <si>
    <t>Estimación en esta hoja de cálculo</t>
  </si>
  <si>
    <t>m</t>
  </si>
  <si>
    <r>
      <t>m s</t>
    </r>
    <r>
      <rPr>
        <vertAlign val="superscript"/>
        <sz val="11"/>
        <color theme="1"/>
        <rFont val="Calibri"/>
        <family val="2"/>
        <scheme val="minor"/>
      </rPr>
      <t>-2</t>
    </r>
  </si>
  <si>
    <r>
      <t>psi</t>
    </r>
    <r>
      <rPr>
        <vertAlign val="superscript"/>
        <sz val="11"/>
        <color theme="1"/>
        <rFont val="Calibri"/>
        <family val="2"/>
        <scheme val="minor"/>
      </rPr>
      <t>2</t>
    </r>
  </si>
  <si>
    <t>Por resolución del instrumento</t>
  </si>
  <si>
    <t>Por histéresis</t>
  </si>
  <si>
    <t>Por efectos térmicos en el IBC</t>
  </si>
  <si>
    <t>Por densidad del aire</t>
  </si>
  <si>
    <t>Por aceleración local de la gravedad</t>
  </si>
  <si>
    <t>Por repetibilidad de las mediciones</t>
  </si>
  <si>
    <t>Incertidumbre expandida de la corrección, [psi]</t>
  </si>
  <si>
    <t>Sensibilidad térmica: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</si>
  <si>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s</t>
    </r>
    <r>
      <rPr>
        <vertAlign val="superscript"/>
        <sz val="11"/>
        <color theme="1"/>
        <rFont val="Calibri"/>
        <family val="2"/>
        <scheme val="minor"/>
      </rPr>
      <t>-2</t>
    </r>
  </si>
  <si>
    <r>
      <t>kg m</t>
    </r>
    <r>
      <rPr>
        <vertAlign val="superscript"/>
        <sz val="11"/>
        <color theme="1"/>
        <rFont val="Calibri"/>
        <family val="2"/>
        <scheme val="minor"/>
      </rPr>
      <t>-2</t>
    </r>
  </si>
  <si>
    <r>
      <t>kg m</t>
    </r>
    <r>
      <rPr>
        <vertAlign val="superscript"/>
        <sz val="11"/>
        <color theme="1"/>
        <rFont val="Calibri"/>
        <family val="2"/>
        <scheme val="minor"/>
      </rPr>
      <t>-2</t>
    </r>
    <r>
      <rPr>
        <sz val="11"/>
        <color theme="1"/>
        <rFont val="Calibri"/>
        <family val="2"/>
        <scheme val="minor"/>
      </rPr>
      <t xml:space="preserve"> s</t>
    </r>
    <r>
      <rPr>
        <vertAlign val="superscript"/>
        <sz val="11"/>
        <color theme="1"/>
        <rFont val="Calibri"/>
        <family val="2"/>
        <scheme val="minor"/>
      </rPr>
      <t>-2</t>
    </r>
  </si>
  <si>
    <t>Indicación del patrón, [mm]</t>
  </si>
  <si>
    <t>Indicación del IBC, [mm]</t>
  </si>
  <si>
    <t>Corrección a la indicación, [mm]</t>
  </si>
  <si>
    <t>Incertidumbre expandida, [mm]</t>
  </si>
  <si>
    <t>Corrección según la regresión, [mm]</t>
  </si>
  <si>
    <t>Alt. del patrón</t>
  </si>
  <si>
    <t>Alt. del IBC</t>
  </si>
  <si>
    <t>Deriva de la corrección, [mm]</t>
  </si>
  <si>
    <t>Presión promedio 
del patrón</t>
  </si>
  <si>
    <t>GRÁFICA DE HISTÉRESIS DEL RESULTADO DE CALIBRACIÓN</t>
  </si>
  <si>
    <t>Ascenso, serie 1</t>
  </si>
  <si>
    <t>Descenso, serie 1</t>
  </si>
  <si>
    <t>Ascenso, serie 2</t>
  </si>
  <si>
    <t>Descenso, serie 2</t>
  </si>
  <si>
    <t>Ascenso, serie 3</t>
  </si>
  <si>
    <t>Descenso, serie 3</t>
  </si>
  <si>
    <t>pág 1 de 3</t>
  </si>
  <si>
    <t>Solicitante:</t>
  </si>
  <si>
    <t>Observaciones generales:</t>
  </si>
  <si>
    <t>Lugar de la calibración:</t>
  </si>
  <si>
    <t>ítem bajo calibración:</t>
  </si>
  <si>
    <t>Número interno de identificación:</t>
  </si>
  <si>
    <t>Fecha de calibración del ítem:</t>
  </si>
  <si>
    <t>Fecha de emisión del certificado:</t>
  </si>
  <si>
    <t>Observaciones específicas:</t>
  </si>
  <si>
    <t>i.</t>
  </si>
  <si>
    <t>ii.</t>
  </si>
  <si>
    <t>iii.</t>
  </si>
  <si>
    <t>1. CONDICIONES AMBIENTALES</t>
  </si>
  <si>
    <t xml:space="preserve"> –■   Fin de página   ■–</t>
  </si>
  <si>
    <t>pág 2 de 3</t>
  </si>
  <si>
    <t>2. MÉTODO DE MEDICIÓN</t>
  </si>
  <si>
    <t>pág 3 de 3</t>
  </si>
  <si>
    <r>
      <rPr>
        <b/>
        <sz val="12"/>
        <color rgb="FF002060"/>
        <rFont val="Arial"/>
        <family val="2"/>
      </rPr>
      <t>MB Metrología S.A.S.</t>
    </r>
    <r>
      <rPr>
        <sz val="12"/>
        <color theme="1"/>
        <rFont val="Arial"/>
        <family val="2"/>
      </rPr>
      <t xml:space="preserve"> establece la trazabilidad metrológica de sus mediciones a través de la calibración de sus sistemas de medición en laboratorios acreditados por ONAC con el alcance y la capacidad de medición apropiada. </t>
    </r>
  </si>
  <si>
    <t>Identificación del instrumento o sistema de medición 
que provee trazabilidad metrológica en la calibración</t>
  </si>
  <si>
    <t>Código del certificado de calibración</t>
  </si>
  <si>
    <t>Revisa y aprueba la emisión de este certificado de calibración:</t>
  </si>
  <si>
    <t>Firma:</t>
  </si>
  <si>
    <t>espacio para sello</t>
  </si>
  <si>
    <t xml:space="preserve"> –■   Fin del certificado   ■–</t>
  </si>
  <si>
    <t>Comparación directa a través del método normalizado CEM Procedimiento ME-003 para la calibración de manómetros, vacuómetros y manovacuómetros, edición digital 3, 2019.</t>
  </si>
  <si>
    <t>[Pa]</t>
  </si>
  <si>
    <t>Serie 1</t>
  </si>
  <si>
    <t>Serie 2</t>
  </si>
  <si>
    <t>Serie 3</t>
  </si>
  <si>
    <t>Ascendente</t>
  </si>
  <si>
    <t>Descendente</t>
  </si>
  <si>
    <t>7. GRÁFICA DE LOS RESULTADOS DE CALIBRACIÓN</t>
  </si>
  <si>
    <r>
      <rPr>
        <b/>
        <sz val="12"/>
        <color theme="1"/>
        <rFont val="Arial"/>
        <family val="2"/>
      </rPr>
      <t>Figura 1:</t>
    </r>
    <r>
      <rPr>
        <sz val="12"/>
        <color theme="1"/>
        <rFont val="Arial"/>
        <family val="2"/>
      </rPr>
      <t xml:space="preserve"> Relación entre las indicaciones del instrumento y su error de indicación. 
Se muestra la incertidumbre expandida de calibración con barras verticales de color azul</t>
    </r>
  </si>
  <si>
    <t>Manovacuómetro digital de precisión del fabricante WIKA, modelo CGP1500</t>
  </si>
  <si>
    <t>Manómetro digital de precisión del fabricante WIKA, modelo CGP1500</t>
  </si>
  <si>
    <t>Incertidumbre propagada para el segundo punto de calibración</t>
  </si>
  <si>
    <t>Incertidumbre propagada para el tercer punto de calibración</t>
  </si>
  <si>
    <t>Incertidumbre propagada para el cuarto punto de calibración</t>
  </si>
  <si>
    <t>Incertidumbre propagada para el quinto punto de calibración</t>
  </si>
  <si>
    <t>Incertidumbre propagada para el sexto punto de calibración</t>
  </si>
  <si>
    <t>Incertidumbre propagada para el séptimo punto de calibración</t>
  </si>
  <si>
    <t>Incertidumbre propagada para el octavo punto de calibración</t>
  </si>
  <si>
    <t>Incertidumbre propagada para el noveno punto de calibración</t>
  </si>
  <si>
    <t>Incertidumbre propagada para el décimo punto de calibración</t>
  </si>
  <si>
    <t>Presión de referencia, [hPa]:</t>
  </si>
  <si>
    <t>INFORMACIÓN DEL SOLICITANTE</t>
  </si>
  <si>
    <t>INFORMACIÓN GENERAL DEL SERVICIO</t>
  </si>
  <si>
    <t>INFORMACIÓN DEL IBC</t>
  </si>
  <si>
    <t>Observaciones:</t>
  </si>
  <si>
    <t>INFORMACIÓN DE LA PRESTACIÓN DEL SERVICIO</t>
  </si>
  <si>
    <t>Unidad:</t>
  </si>
  <si>
    <t>6. INCERTIDUMBRE EXPANDIDA</t>
  </si>
  <si>
    <t>5. RESULTADOS DE LA CALIBRACIÓN</t>
  </si>
  <si>
    <t>4. MEDICIONES DEL INSTRUMENTO BAJO CALIBRACIÓN (IBC) POR SERIE</t>
  </si>
  <si>
    <r>
      <rPr>
        <b/>
        <sz val="12"/>
        <color theme="1"/>
        <rFont val="Arial"/>
        <family val="2"/>
      </rPr>
      <t>Tabla 2:</t>
    </r>
    <r>
      <rPr>
        <sz val="12"/>
        <color theme="1"/>
        <rFont val="Arial"/>
        <family val="2"/>
      </rPr>
      <t xml:space="preserve"> Indicaciones del IBC en las pruebas de ascenso y descenso para las series de calibración</t>
    </r>
  </si>
  <si>
    <r>
      <rPr>
        <b/>
        <sz val="12"/>
        <color theme="1"/>
        <rFont val="Arial"/>
        <family val="2"/>
      </rPr>
      <t>Tabla 3:</t>
    </r>
    <r>
      <rPr>
        <sz val="12"/>
        <color theme="1"/>
        <rFont val="Arial"/>
        <family val="2"/>
      </rPr>
      <t xml:space="preserve"> Resultados de la calibración del instrumento bajo calibración</t>
    </r>
  </si>
  <si>
    <r>
      <rPr>
        <b/>
        <sz val="12"/>
        <color theme="1"/>
        <rFont val="Arial"/>
        <family val="2"/>
      </rPr>
      <t>Tabla 4:</t>
    </r>
    <r>
      <rPr>
        <sz val="12"/>
        <color theme="1"/>
        <rFont val="Arial"/>
        <family val="2"/>
      </rPr>
      <t xml:space="preserve"> Declaración de trazabilidad metrológica</t>
    </r>
  </si>
  <si>
    <t>8. SOBRE LAS UNIDADES DE MEDICIÓN</t>
  </si>
  <si>
    <t>Sección media (2/3)</t>
  </si>
  <si>
    <t>Sección alta (3/3)</t>
  </si>
  <si>
    <t>3. MEDICIONES EN LA CARGA PREVIA A LA CALIBRACIÓN</t>
  </si>
  <si>
    <r>
      <t xml:space="preserve">Las incertidumbres combinadas y expandidas se estiman con la guía JCGM 100:2008 </t>
    </r>
    <r>
      <rPr>
        <i/>
        <sz val="12"/>
        <color theme="1"/>
        <rFont val="Arial"/>
        <family val="2"/>
      </rPr>
      <t>GUM 1995 con ligeras correcciones</t>
    </r>
    <r>
      <rPr>
        <sz val="12"/>
        <color theme="1"/>
        <rFont val="Arial"/>
        <family val="2"/>
      </rPr>
      <t xml:space="preserve"> (edición del CEM). La incertidumbre expandida se determina a través de la multiplicación de la incertidumbre combinada estimada en la calibración de cada indicación y el factor de cobertura estimado para una disrtibución </t>
    </r>
    <r>
      <rPr>
        <i/>
        <sz val="12"/>
        <color theme="1"/>
        <rFont val="Arial"/>
        <family val="2"/>
      </rPr>
      <t>t</t>
    </r>
    <r>
      <rPr>
        <sz val="12"/>
        <color theme="1"/>
        <rFont val="Arial"/>
        <family val="2"/>
      </rPr>
      <t xml:space="preserve"> de probabilidad y para una probabilidad de cobertura definida previamente (ver Tabla 3).</t>
    </r>
  </si>
  <si>
    <r>
      <t xml:space="preserve">Código: </t>
    </r>
    <r>
      <rPr>
        <sz val="12"/>
        <color theme="1"/>
        <rFont val="Calibri"/>
        <family val="2"/>
        <scheme val="minor"/>
      </rPr>
      <t>Cp-F01</t>
    </r>
  </si>
  <si>
    <t>P006-7</t>
  </si>
  <si>
    <r>
      <t>°C</t>
    </r>
    <r>
      <rPr>
        <vertAlign val="superscript"/>
        <sz val="11"/>
        <color theme="1"/>
        <rFont val="Calibri"/>
        <family val="2"/>
        <scheme val="minor"/>
      </rPr>
      <t>-2</t>
    </r>
  </si>
  <si>
    <t>Término de cuarta potencia</t>
  </si>
  <si>
    <t>T-37-6732-49873</t>
  </si>
  <si>
    <t>ATE Laboratorio de metrología</t>
  </si>
  <si>
    <t>Mayor corrección observada:</t>
  </si>
  <si>
    <t>Menor corrección observada:</t>
  </si>
  <si>
    <t>P004-3</t>
  </si>
  <si>
    <t>Ecuación</t>
  </si>
  <si>
    <t>REGRESIÓN DE LAS CORRECCIONES A LA INDICACIÓN DEL TERMOHIGRÓMETRO P004-3</t>
  </si>
  <si>
    <t>Termohigrómetro P004-3 (t.amb)</t>
  </si>
  <si>
    <t>Termohigrómetro P004-3 (h.rel)</t>
  </si>
  <si>
    <t>ELABORADO</t>
  </si>
  <si>
    <t>REVISADO</t>
  </si>
  <si>
    <t>APROBADO</t>
  </si>
  <si>
    <t>NOMBRE</t>
  </si>
  <si>
    <t>Juan Felipe Calderón</t>
  </si>
  <si>
    <t>Cristian González</t>
  </si>
  <si>
    <t>Alejandro Bedoya</t>
  </si>
  <si>
    <t>CARGO</t>
  </si>
  <si>
    <t>Coordinador de operaciones</t>
  </si>
  <si>
    <t>Director técnico</t>
  </si>
  <si>
    <t>Gerente Operativo</t>
  </si>
  <si>
    <t>FECHA</t>
  </si>
  <si>
    <t>Densidad del aire ambiente</t>
  </si>
  <si>
    <t>DENSIDAD DEL AIRE AMBIENTE</t>
  </si>
  <si>
    <t>DENSIDAD DEL MEDIO</t>
  </si>
  <si>
    <t>a</t>
  </si>
  <si>
    <t>b</t>
  </si>
  <si>
    <t>R</t>
  </si>
  <si>
    <t>kg mol-1</t>
  </si>
  <si>
    <t>Calibración</t>
  </si>
  <si>
    <t>Fecha de calibración:</t>
  </si>
  <si>
    <t>n</t>
  </si>
  <si>
    <t>Temp. agua</t>
  </si>
  <si>
    <t>DENSIDAD DEL MEDIO: AIRE</t>
  </si>
  <si>
    <t>Resolución del IBC</t>
  </si>
  <si>
    <t>DENSIDAD DEL MEDIO: AGUA</t>
  </si>
  <si>
    <t>Presión</t>
  </si>
  <si>
    <t>Por densidad del medio</t>
  </si>
  <si>
    <t>Presión de referencia. Por resolución del instrumento</t>
  </si>
  <si>
    <t>Presión de referencia. Corrección a la indicación. Por última calibración</t>
  </si>
  <si>
    <t>Presión de referencia. Corrección a la indicación. Por deriva</t>
  </si>
  <si>
    <t>Presión de referencia. Corrección a la indicación. Por ajuste de regresión</t>
  </si>
  <si>
    <t>Presión de referencia. Por histéresis</t>
  </si>
  <si>
    <t>Características del IBC. Indicación. Por resolución del instrumento</t>
  </si>
  <si>
    <t>Características del IBC. Indicación. Por efectos térmicos en el IBC</t>
  </si>
  <si>
    <t>Características del IBC. Por histéresis</t>
  </si>
  <si>
    <t>Diferencia en el nivel de referencia. Por densidad del aire</t>
  </si>
  <si>
    <t>Diferencia en el nivel de referencia. Por densidad del medio</t>
  </si>
  <si>
    <t>Diferencia en el nivel de referencia. Por aceleración local de la gravedad</t>
  </si>
  <si>
    <t>Diferencia en el nivel de referencia. Cintas métricas. Por resolución</t>
  </si>
  <si>
    <t>Diferencia en el nivel de referencia. Cintas métricas. Por última calibración</t>
  </si>
  <si>
    <t>Diferencia en el nivel de referencia. Cintas métricas. Por deriva</t>
  </si>
  <si>
    <t>Número de decimales de ajuste</t>
  </si>
  <si>
    <t>Cumple el EMP</t>
  </si>
  <si>
    <r>
      <rPr>
        <b/>
        <sz val="12"/>
        <color theme="1"/>
        <rFont val="Arial"/>
        <family val="2"/>
      </rPr>
      <t>Tabla 1:</t>
    </r>
    <r>
      <rPr>
        <sz val="12"/>
        <color theme="1"/>
        <rFont val="Arial"/>
        <family val="2"/>
      </rPr>
      <t xml:space="preserve"> Mediciones del IBC en la carga previa a la calibración</t>
    </r>
  </si>
  <si>
    <t>P-69-8007-56758</t>
  </si>
  <si>
    <t>P-69-8007-56759</t>
  </si>
  <si>
    <t>Tipo de informe que será emitido:</t>
  </si>
  <si>
    <t>Número de la modificación al certificado:</t>
  </si>
  <si>
    <t>Tipo de informe</t>
  </si>
  <si>
    <t>Modificación al certificado de calibración</t>
  </si>
  <si>
    <t>Descripción y motivo de la modificación al certificado:</t>
  </si>
  <si>
    <t>Clase de exactitud:</t>
  </si>
  <si>
    <t>P004-6</t>
  </si>
  <si>
    <t>Termohigrómetro P004-6 (t.amb)</t>
  </si>
  <si>
    <t>Termohigrómetro P004-6 (h.rel)</t>
  </si>
  <si>
    <t>REGRESIÓN DE LOS ERRORES DE INDICACIÓN DEL TERMOHIGRÓMETRO P004-6</t>
  </si>
  <si>
    <t>Fecha:</t>
  </si>
  <si>
    <r>
      <t xml:space="preserve">Versión: </t>
    </r>
    <r>
      <rPr>
        <sz val="12"/>
        <color theme="1"/>
        <rFont val="Calibri"/>
        <family val="2"/>
        <scheme val="minor"/>
      </rPr>
      <t>02</t>
    </r>
  </si>
  <si>
    <t>La redacción debe dar continuidad a la frase «Se modifica ...»</t>
  </si>
  <si>
    <r>
      <t>k</t>
    </r>
    <r>
      <rPr>
        <vertAlign val="subscript"/>
        <sz val="11"/>
        <color theme="0"/>
        <rFont val="Arial"/>
        <family val="2"/>
      </rPr>
      <t>1</t>
    </r>
  </si>
  <si>
    <r>
      <t>hPa</t>
    </r>
    <r>
      <rPr>
        <vertAlign val="superscript"/>
        <sz val="11"/>
        <color theme="1"/>
        <rFont val="Arial"/>
        <family val="2"/>
      </rPr>
      <t>-1</t>
    </r>
  </si>
  <si>
    <r>
      <t>kg m</t>
    </r>
    <r>
      <rPr>
        <vertAlign val="superscript"/>
        <sz val="11"/>
        <color theme="0"/>
        <rFont val="Arial"/>
        <family val="2"/>
      </rPr>
      <t>-3</t>
    </r>
  </si>
  <si>
    <r>
      <t>k</t>
    </r>
    <r>
      <rPr>
        <vertAlign val="subscript"/>
        <sz val="11"/>
        <color theme="0"/>
        <rFont val="Arial"/>
        <family val="2"/>
      </rPr>
      <t>2</t>
    </r>
  </si>
  <si>
    <r>
      <t>g cm</t>
    </r>
    <r>
      <rPr>
        <vertAlign val="superscript"/>
        <sz val="11"/>
        <color theme="0"/>
        <rFont val="Arial"/>
        <family val="2"/>
      </rPr>
      <t>-3</t>
    </r>
  </si>
  <si>
    <r>
      <t>k</t>
    </r>
    <r>
      <rPr>
        <vertAlign val="subscript"/>
        <sz val="11"/>
        <color theme="0"/>
        <rFont val="Arial"/>
        <family val="2"/>
      </rPr>
      <t>3</t>
    </r>
  </si>
  <si>
    <r>
      <t>°C</t>
    </r>
    <r>
      <rPr>
        <vertAlign val="superscript"/>
        <sz val="11"/>
        <color theme="1"/>
        <rFont val="Arial"/>
        <family val="2"/>
      </rPr>
      <t>-1</t>
    </r>
  </si>
  <si>
    <r>
      <t>m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Pa K</t>
    </r>
    <r>
      <rPr>
        <vertAlign val="superscript"/>
        <sz val="11"/>
        <color theme="1"/>
        <rFont val="Arial"/>
        <family val="2"/>
      </rPr>
      <t>0.5</t>
    </r>
    <r>
      <rPr>
        <sz val="11"/>
        <color theme="1"/>
        <rFont val="Arial"/>
        <family val="2"/>
      </rPr>
      <t xml:space="preserve"> mol</t>
    </r>
    <r>
      <rPr>
        <vertAlign val="superscript"/>
        <sz val="11"/>
        <color theme="1"/>
        <rFont val="Arial"/>
        <family val="2"/>
      </rPr>
      <t>2</t>
    </r>
  </si>
  <si>
    <r>
      <t>kg m</t>
    </r>
    <r>
      <rPr>
        <vertAlign val="superscript"/>
        <sz val="11"/>
        <color theme="1"/>
        <rFont val="Arial"/>
        <family val="2"/>
      </rPr>
      <t>-3</t>
    </r>
  </si>
  <si>
    <r>
      <t>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 mol</t>
    </r>
    <r>
      <rPr>
        <vertAlign val="superscript"/>
        <sz val="11"/>
        <color theme="1"/>
        <rFont val="Arial"/>
        <family val="2"/>
      </rPr>
      <t>-1</t>
    </r>
  </si>
  <si>
    <r>
      <t>M</t>
    </r>
    <r>
      <rPr>
        <vertAlign val="subscript"/>
        <sz val="11"/>
        <color theme="0"/>
        <rFont val="Arial"/>
        <family val="2"/>
      </rPr>
      <t>m</t>
    </r>
  </si>
  <si>
    <r>
      <t>V</t>
    </r>
    <r>
      <rPr>
        <vertAlign val="subscript"/>
        <sz val="11"/>
        <color theme="0"/>
        <rFont val="Arial"/>
        <family val="2"/>
      </rPr>
      <t>m</t>
    </r>
  </si>
  <si>
    <r>
      <t>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 Pa K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 xml:space="preserve"> mol</t>
    </r>
    <r>
      <rPr>
        <vertAlign val="superscript"/>
        <sz val="11"/>
        <color theme="1"/>
        <rFont val="Arial"/>
        <family val="2"/>
      </rPr>
      <t>-1</t>
    </r>
  </si>
  <si>
    <r>
      <t>a</t>
    </r>
    <r>
      <rPr>
        <vertAlign val="subscript"/>
        <sz val="11"/>
        <color theme="0"/>
        <rFont val="Arial"/>
        <family val="2"/>
      </rPr>
      <t>1</t>
    </r>
  </si>
  <si>
    <r>
      <t>a</t>
    </r>
    <r>
      <rPr>
        <vertAlign val="subscript"/>
        <sz val="11"/>
        <color theme="0"/>
        <rFont val="Arial"/>
        <family val="2"/>
      </rPr>
      <t>2</t>
    </r>
  </si>
  <si>
    <r>
      <t>a</t>
    </r>
    <r>
      <rPr>
        <vertAlign val="subscript"/>
        <sz val="11"/>
        <color theme="0"/>
        <rFont val="Arial"/>
        <family val="2"/>
      </rPr>
      <t>3</t>
    </r>
  </si>
  <si>
    <r>
      <t>°C</t>
    </r>
    <r>
      <rPr>
        <vertAlign val="superscript"/>
        <sz val="11"/>
        <color theme="1"/>
        <rFont val="Arial"/>
        <family val="2"/>
      </rPr>
      <t>2</t>
    </r>
  </si>
  <si>
    <r>
      <t>a</t>
    </r>
    <r>
      <rPr>
        <vertAlign val="subscript"/>
        <sz val="11"/>
        <color theme="0"/>
        <rFont val="Arial"/>
        <family val="2"/>
      </rPr>
      <t>4</t>
    </r>
  </si>
  <si>
    <r>
      <t>a</t>
    </r>
    <r>
      <rPr>
        <vertAlign val="subscript"/>
        <sz val="11"/>
        <color theme="0"/>
        <rFont val="Arial"/>
        <family val="2"/>
      </rPr>
      <t>5</t>
    </r>
  </si>
  <si>
    <r>
      <t>p</t>
    </r>
    <r>
      <rPr>
        <vertAlign val="subscript"/>
        <sz val="11"/>
        <color theme="0"/>
        <rFont val="Arial"/>
        <family val="2"/>
      </rPr>
      <t>0</t>
    </r>
  </si>
  <si>
    <r>
      <t>K</t>
    </r>
    <r>
      <rPr>
        <vertAlign val="subscript"/>
        <sz val="11"/>
        <color theme="0"/>
        <rFont val="Arial"/>
        <family val="2"/>
      </rPr>
      <t>0</t>
    </r>
  </si>
  <si>
    <r>
      <t>k</t>
    </r>
    <r>
      <rPr>
        <vertAlign val="subscript"/>
        <sz val="11"/>
        <color theme="0"/>
        <rFont val="Arial"/>
        <family val="2"/>
      </rPr>
      <t>0</t>
    </r>
  </si>
  <si>
    <r>
      <t>Pa</t>
    </r>
    <r>
      <rPr>
        <vertAlign val="superscript"/>
        <sz val="11"/>
        <color theme="1"/>
        <rFont val="Arial"/>
        <family val="2"/>
      </rPr>
      <t>-1</t>
    </r>
  </si>
  <si>
    <r>
      <t>Pa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 xml:space="preserve"> °C</t>
    </r>
    <r>
      <rPr>
        <vertAlign val="superscript"/>
        <sz val="11"/>
        <color theme="1"/>
        <rFont val="Arial"/>
        <family val="2"/>
      </rPr>
      <t>-1</t>
    </r>
  </si>
  <si>
    <r>
      <t>Pa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 xml:space="preserve"> °C</t>
    </r>
    <r>
      <rPr>
        <vertAlign val="superscript"/>
        <sz val="11"/>
        <color theme="1"/>
        <rFont val="Arial"/>
        <family val="2"/>
      </rPr>
      <t>-2</t>
    </r>
  </si>
  <si>
    <r>
      <t>s</t>
    </r>
    <r>
      <rPr>
        <vertAlign val="subscript"/>
        <sz val="11"/>
        <color theme="0"/>
        <rFont val="Arial"/>
        <family val="2"/>
      </rPr>
      <t>0</t>
    </r>
  </si>
  <si>
    <r>
      <t>s</t>
    </r>
    <r>
      <rPr>
        <vertAlign val="subscript"/>
        <sz val="11"/>
        <color theme="0"/>
        <rFont val="Arial"/>
        <family val="2"/>
      </rPr>
      <t>1</t>
    </r>
  </si>
  <si>
    <r>
      <t>kg m</t>
    </r>
    <r>
      <rPr>
        <vertAlign val="superscript"/>
        <sz val="11"/>
        <color theme="1"/>
        <rFont val="Arial"/>
        <family val="2"/>
      </rPr>
      <t>-3</t>
    </r>
    <r>
      <rPr>
        <sz val="11"/>
        <color theme="1"/>
        <rFont val="Arial"/>
        <family val="2"/>
      </rPr>
      <t xml:space="preserve"> °C</t>
    </r>
    <r>
      <rPr>
        <vertAlign val="superscript"/>
        <sz val="11"/>
        <color theme="1"/>
        <rFont val="Arial"/>
        <family val="2"/>
      </rPr>
      <t>-1</t>
    </r>
  </si>
  <si>
    <r>
      <rPr>
        <b/>
        <sz val="13"/>
        <color rgb="FF002060"/>
        <rFont val="Arial"/>
        <family val="2"/>
      </rPr>
      <t>1.</t>
    </r>
    <r>
      <rPr>
        <sz val="13"/>
        <color theme="1"/>
        <rFont val="Arial"/>
        <family val="2"/>
      </rPr>
      <t xml:space="preserve"> Los resultados de este certificado se refieren exclusivamente al ítem sometido a calibración en las condiciones especificadas. 
</t>
    </r>
    <r>
      <rPr>
        <b/>
        <sz val="13"/>
        <color rgb="FF002060"/>
        <rFont val="Arial"/>
        <family val="2"/>
      </rPr>
      <t>2.</t>
    </r>
    <r>
      <rPr>
        <sz val="13"/>
        <color theme="1"/>
        <rFont val="Arial"/>
        <family val="2"/>
      </rPr>
      <t xml:space="preserve"> </t>
    </r>
    <r>
      <rPr>
        <b/>
        <sz val="13"/>
        <color rgb="FF002060"/>
        <rFont val="Arial"/>
        <family val="2"/>
      </rPr>
      <t>MB METROLOGÍA</t>
    </r>
    <r>
      <rPr>
        <sz val="13"/>
        <color theme="1"/>
        <rFont val="Arial"/>
        <family val="2"/>
      </rPr>
      <t xml:space="preserve"> no se responsabiliza de los perjuicios que puedan causarse por el uso inadecuado de los resultados emitidos en el presente certificado.
</t>
    </r>
    <r>
      <rPr>
        <b/>
        <sz val="13"/>
        <color rgb="FF002060"/>
        <rFont val="Arial"/>
        <family val="2"/>
      </rPr>
      <t>3.</t>
    </r>
    <r>
      <rPr>
        <sz val="13"/>
        <color theme="1"/>
        <rFont val="Arial"/>
        <family val="2"/>
      </rPr>
      <t xml:space="preserve"> Este certificado de calibración no puede ser reproducido parcialmente, excepto con autorización de </t>
    </r>
    <r>
      <rPr>
        <b/>
        <sz val="13"/>
        <color rgb="FF002060"/>
        <rFont val="Arial"/>
        <family val="2"/>
      </rPr>
      <t>MB METROLOGÍA.</t>
    </r>
    <r>
      <rPr>
        <sz val="13"/>
        <color theme="1"/>
        <rFont val="Arial"/>
        <family val="2"/>
      </rPr>
      <t xml:space="preserve">
</t>
    </r>
    <r>
      <rPr>
        <b/>
        <sz val="13"/>
        <color rgb="FF002060"/>
        <rFont val="Arial"/>
        <family val="2"/>
      </rPr>
      <t>4.</t>
    </r>
    <r>
      <rPr>
        <sz val="13"/>
        <color theme="1"/>
        <rFont val="Arial"/>
        <family val="2"/>
      </rPr>
      <t xml:space="preserve"> El usuario es responsable de la recalibración de sus equipos en intervalos apropiados.
</t>
    </r>
    <r>
      <rPr>
        <b/>
        <sz val="13"/>
        <color rgb="FF002060"/>
        <rFont val="Arial"/>
        <family val="2"/>
      </rPr>
      <t>5.</t>
    </r>
    <r>
      <rPr>
        <sz val="13"/>
        <color theme="1"/>
        <rFont val="Arial"/>
        <family val="2"/>
      </rPr>
      <t xml:space="preserve"> Se subraya en negro en el presente certificado de calibración la información que ha sido suministrada por el cliente. </t>
    </r>
    <r>
      <rPr>
        <b/>
        <sz val="13"/>
        <color rgb="FF002060"/>
        <rFont val="Arial"/>
        <family val="2"/>
      </rPr>
      <t xml:space="preserve">MB METROLOGÍA </t>
    </r>
    <r>
      <rPr>
        <sz val="13"/>
        <color theme="1"/>
        <rFont val="Arial"/>
        <family val="2"/>
      </rPr>
      <t xml:space="preserve">no se hace responsable de los posibles impactos que pueda tener la información suministrada por el cliente, en particular, en la validez de los resultados emitidos en este certificado de calibración.
</t>
    </r>
    <r>
      <rPr>
        <b/>
        <sz val="13"/>
        <color rgb="FF002060"/>
        <rFont val="Arial"/>
        <family val="2"/>
      </rPr>
      <t>6.</t>
    </r>
    <r>
      <rPr>
        <sz val="13"/>
        <color theme="1"/>
        <rFont val="Arial"/>
        <family val="2"/>
      </rPr>
      <t xml:space="preserve"> Los certificados de calibración sin firmar no tienen validez.
</t>
    </r>
    <r>
      <rPr>
        <b/>
        <sz val="13"/>
        <color rgb="FF002060"/>
        <rFont val="Arial"/>
        <family val="2"/>
      </rPr>
      <t>7.</t>
    </r>
    <r>
      <rPr>
        <sz val="13"/>
        <color theme="1"/>
        <rFont val="Arial"/>
        <family val="2"/>
      </rPr>
      <t xml:space="preserve"> En </t>
    </r>
    <r>
      <rPr>
        <b/>
        <sz val="13"/>
        <color rgb="FF002060"/>
        <rFont val="Arial"/>
        <family val="2"/>
      </rPr>
      <t xml:space="preserve">MB METROLOGÍA </t>
    </r>
    <r>
      <rPr>
        <sz val="13"/>
        <color theme="1"/>
        <rFont val="Arial"/>
        <family val="2"/>
      </rPr>
      <t>estamos a tu disposición para las aclaraciones de los resultados de calibración emitidos que consideres convenientes, pertinentes o necesarias. Contáctanos.</t>
    </r>
  </si>
  <si>
    <t>Código: Cp-F01</t>
  </si>
  <si>
    <t>Versión: 02</t>
  </si>
  <si>
    <t>Fecha: 2024-06-11</t>
  </si>
  <si>
    <t>P-28-8281-57386</t>
  </si>
  <si>
    <t>Flexómetro</t>
  </si>
  <si>
    <t>L-39-8377-57681</t>
  </si>
  <si>
    <t>REGRESIÓN DE LAS CORRECCIONES A LA INDICACIÓN DEL FLEXÓMETRO P006-7</t>
  </si>
  <si>
    <t>FLEXÓMETRO</t>
  </si>
  <si>
    <t>DATOS DEL CERTIFICADO</t>
  </si>
  <si>
    <t>Ingreso</t>
  </si>
  <si>
    <t>Código Plantilla</t>
  </si>
  <si>
    <t>Nro Certificado</t>
  </si>
  <si>
    <t>Cliente</t>
  </si>
  <si>
    <t>NIT</t>
  </si>
  <si>
    <t>Contacto</t>
  </si>
  <si>
    <t>Teléfono</t>
  </si>
  <si>
    <t>Cargo</t>
  </si>
  <si>
    <t>Email</t>
  </si>
  <si>
    <t>Dirección</t>
  </si>
  <si>
    <t>Fecha Calibración</t>
  </si>
  <si>
    <t>Próxima Calibración</t>
  </si>
  <si>
    <t>Especialista</t>
  </si>
  <si>
    <t>Observación</t>
  </si>
  <si>
    <t>Puntos Calibrar</t>
  </si>
  <si>
    <t>Declaración de Conformidad</t>
  </si>
  <si>
    <t>Equipo</t>
  </si>
  <si>
    <t>Marca</t>
  </si>
  <si>
    <t>Modelo</t>
  </si>
  <si>
    <t>Serie</t>
  </si>
  <si>
    <t>Id_Equipo</t>
  </si>
  <si>
    <t>Medida</t>
  </si>
  <si>
    <t>Desde</t>
  </si>
  <si>
    <t>Hasta</t>
  </si>
  <si>
    <t xml:space="preserve">Juan Felipe Calderón Ardila </t>
  </si>
  <si>
    <t xml:space="preserve">Coordinador Operaciones </t>
  </si>
  <si>
    <t>No</t>
  </si>
  <si>
    <t>=Software!B20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</si>
</sst>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yyyy\-mm\-dd;@"/>
    <numFmt numFmtId="165" formatCode="0.00000E+00"/>
    <numFmt numFmtId="166" formatCode="0.0000"/>
    <numFmt numFmtId="167" formatCode="0.000"/>
    <numFmt numFmtId="168" formatCode="0.00000"/>
    <numFmt numFmtId="169" formatCode="0.0000E+00"/>
    <numFmt numFmtId="170" formatCode="0.0"/>
    <numFmt numFmtId="171" formatCode="0.000E+00"/>
    <numFmt numFmtId="172" formatCode="0.0%"/>
    <numFmt numFmtId="173" formatCode="0.000000"/>
  </numFmts>
  <fonts count="4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rgb="FF002060"/>
      <name val="Arial"/>
      <family val="2"/>
    </font>
    <font>
      <sz val="13"/>
      <color theme="1"/>
      <name val="Arial"/>
      <family val="2"/>
    </font>
    <font>
      <b/>
      <sz val="13"/>
      <color rgb="FF002060"/>
      <name val="Arial"/>
      <family val="2"/>
    </font>
    <font>
      <b/>
      <sz val="20"/>
      <color rgb="FF002060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sz val="11"/>
      <color theme="0"/>
      <name val="Arial"/>
      <family val="2"/>
    </font>
    <font>
      <i/>
      <sz val="12"/>
      <color theme="1"/>
      <name val="Arial"/>
      <family val="2"/>
    </font>
    <font>
      <sz val="20"/>
      <color rgb="FF002060"/>
      <name val="Arial"/>
      <family val="2"/>
    </font>
    <font>
      <b/>
      <sz val="12"/>
      <color rgb="FF00206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u/>
      <sz val="14"/>
      <color theme="1"/>
      <name val="Arial"/>
      <family val="2"/>
    </font>
    <font>
      <sz val="11"/>
      <name val="Calibri"/>
      <family val="2"/>
    </font>
    <font>
      <b/>
      <sz val="11"/>
      <color rgb="FFFFFFFF"/>
      <name val="Arial"/>
      <family val="2"/>
    </font>
    <font>
      <sz val="18"/>
      <color theme="1"/>
      <name val="Arial"/>
      <family val="2"/>
    </font>
    <font>
      <b/>
      <sz val="34"/>
      <color rgb="FF002060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Arial"/>
      <family val="2"/>
    </font>
    <font>
      <b/>
      <sz val="11"/>
      <color rgb="FF002060"/>
      <name val="Arial"/>
      <family val="2"/>
    </font>
    <font>
      <vertAlign val="subscript"/>
      <sz val="11"/>
      <color theme="0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1"/>
      <color theme="0"/>
      <name val="Arial"/>
      <family val="2"/>
    </font>
    <font>
      <sz val="10"/>
      <color rgb="FF000000"/>
      <name val="Arial"/>
      <family val="2"/>
    </font>
    <font>
      <u/>
      <sz val="10"/>
      <color rgb="FF0563C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lightTrellis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theme="0"/>
      </bottom>
      <diagonal/>
    </border>
    <border>
      <left/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 tint="-0.499984740745262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theme="4" tint="-0.499984740745262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theme="4" tint="-0.499984740745262"/>
      </left>
      <right style="medium">
        <color rgb="FF002060"/>
      </right>
      <top/>
      <bottom style="medium">
        <color theme="4" tint="-0.499984740745262"/>
      </bottom>
      <diagonal/>
    </border>
    <border>
      <left style="medium">
        <color rgb="FF002060"/>
      </left>
      <right style="medium">
        <color rgb="FF002060"/>
      </right>
      <top/>
      <bottom style="medium">
        <color theme="4" tint="-0.499984740745262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/>
      <top/>
      <bottom style="medium">
        <color theme="4" tint="-0.499984740745262"/>
      </bottom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rgb="FF002060"/>
      </right>
      <top/>
      <bottom/>
      <diagonal/>
    </border>
    <border>
      <left/>
      <right/>
      <top/>
      <bottom style="medium">
        <color theme="4" tint="-0.499984740745262"/>
      </bottom>
      <diagonal/>
    </border>
    <border>
      <left/>
      <right style="medium">
        <color rgb="FF002060"/>
      </right>
      <top/>
      <bottom style="medium">
        <color theme="4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1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1"/>
      </right>
      <top style="thin">
        <color theme="0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1"/>
      </right>
      <top style="thin">
        <color indexed="64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indexed="64"/>
      </bottom>
      <diagonal/>
    </border>
    <border>
      <left/>
      <right style="thin">
        <color theme="1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theme="0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indexed="64"/>
      </bottom>
      <diagonal/>
    </border>
    <border>
      <left style="thin">
        <color theme="0"/>
      </left>
      <right/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</borders>
  <cellStyleXfs count="1">
    <xf numFmtId="0" fontId="0" fillId="0" borderId="0"/>
  </cellStyleXfs>
  <cellXfs count="72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6" fillId="0" borderId="0" xfId="0" applyFont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165" fontId="0" fillId="0" borderId="0" xfId="0" applyNumberFormat="1"/>
    <xf numFmtId="167" fontId="0" fillId="0" borderId="0" xfId="0" applyNumberFormat="1"/>
    <xf numFmtId="166" fontId="0" fillId="0" borderId="50" xfId="0" applyNumberFormat="1" applyBorder="1" applyAlignment="1">
      <alignment horizontal="center" vertical="center"/>
    </xf>
    <xf numFmtId="166" fontId="0" fillId="0" borderId="54" xfId="0" applyNumberFormat="1" applyBorder="1" applyAlignment="1">
      <alignment horizontal="center"/>
    </xf>
    <xf numFmtId="166" fontId="0" fillId="0" borderId="50" xfId="0" applyNumberFormat="1" applyBorder="1" applyAlignment="1">
      <alignment horizontal="center"/>
    </xf>
    <xf numFmtId="166" fontId="0" fillId="0" borderId="55" xfId="0" applyNumberFormat="1" applyBorder="1" applyAlignment="1">
      <alignment horizontal="center"/>
    </xf>
    <xf numFmtId="166" fontId="0" fillId="0" borderId="56" xfId="0" applyNumberFormat="1" applyBorder="1" applyAlignment="1">
      <alignment horizontal="center"/>
    </xf>
    <xf numFmtId="166" fontId="2" fillId="2" borderId="52" xfId="0" applyNumberFormat="1" applyFont="1" applyFill="1" applyBorder="1" applyAlignment="1">
      <alignment horizontal="center" vertical="center"/>
    </xf>
    <xf numFmtId="166" fontId="2" fillId="2" borderId="53" xfId="0" applyNumberFormat="1" applyFont="1" applyFill="1" applyBorder="1" applyAlignment="1">
      <alignment horizontal="center" vertical="center"/>
    </xf>
    <xf numFmtId="166" fontId="2" fillId="2" borderId="51" xfId="0" applyNumberFormat="1" applyFont="1" applyFill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0" fontId="0" fillId="3" borderId="2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66" fontId="0" fillId="0" borderId="60" xfId="0" applyNumberFormat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166" fontId="0" fillId="0" borderId="78" xfId="0" applyNumberFormat="1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66" fontId="0" fillId="0" borderId="79" xfId="0" applyNumberFormat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0" fontId="2" fillId="2" borderId="29" xfId="0" applyFont="1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/>
    </xf>
    <xf numFmtId="169" fontId="0" fillId="0" borderId="60" xfId="0" applyNumberFormat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166" fontId="0" fillId="0" borderId="15" xfId="0" applyNumberFormat="1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11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70" fontId="0" fillId="0" borderId="1" xfId="0" applyNumberForma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11" fontId="0" fillId="0" borderId="0" xfId="0" applyNumberFormat="1" applyAlignment="1">
      <alignment horizontal="center"/>
    </xf>
    <xf numFmtId="0" fontId="0" fillId="0" borderId="104" xfId="0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 wrapText="1"/>
    </xf>
    <xf numFmtId="169" fontId="0" fillId="0" borderId="1" xfId="0" applyNumberFormat="1" applyBorder="1" applyAlignment="1">
      <alignment horizontal="center"/>
    </xf>
    <xf numFmtId="11" fontId="0" fillId="0" borderId="1" xfId="0" applyNumberFormat="1" applyBorder="1" applyAlignment="1">
      <alignment horizontal="center" vertical="center"/>
    </xf>
    <xf numFmtId="170" fontId="0" fillId="0" borderId="0" xfId="0" applyNumberFormat="1" applyAlignment="1">
      <alignment horizontal="center"/>
    </xf>
    <xf numFmtId="167" fontId="0" fillId="0" borderId="1" xfId="0" applyNumberFormat="1" applyBorder="1" applyAlignment="1">
      <alignment horizontal="center"/>
    </xf>
    <xf numFmtId="167" fontId="0" fillId="0" borderId="1" xfId="0" applyNumberForma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right" vertical="center" wrapText="1" indent="1"/>
    </xf>
    <xf numFmtId="0" fontId="2" fillId="2" borderId="15" xfId="0" applyFont="1" applyFill="1" applyBorder="1" applyAlignment="1">
      <alignment horizontal="right" vertical="center" wrapText="1" indent="1"/>
    </xf>
    <xf numFmtId="0" fontId="0" fillId="0" borderId="15" xfId="0" applyBorder="1" applyAlignment="1">
      <alignment horizontal="center" vertical="center"/>
    </xf>
    <xf numFmtId="0" fontId="11" fillId="0" borderId="0" xfId="0" applyFont="1"/>
    <xf numFmtId="0" fontId="13" fillId="0" borderId="0" xfId="0" applyFont="1"/>
    <xf numFmtId="0" fontId="12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16" fillId="0" borderId="0" xfId="0" applyFont="1" applyAlignment="1">
      <alignment vertical="top" wrapText="1"/>
    </xf>
    <xf numFmtId="0" fontId="15" fillId="0" borderId="0" xfId="0" applyFont="1" applyAlignment="1">
      <alignment horizontal="right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9" fillId="0" borderId="0" xfId="0" applyFont="1"/>
    <xf numFmtId="0" fontId="13" fillId="0" borderId="0" xfId="0" applyFont="1" applyAlignment="1">
      <alignment horizontal="left" vertical="top" wrapText="1"/>
    </xf>
    <xf numFmtId="0" fontId="23" fillId="0" borderId="0" xfId="0" applyFont="1" applyAlignment="1">
      <alignment vertical="center"/>
    </xf>
    <xf numFmtId="0" fontId="14" fillId="0" borderId="0" xfId="0" applyFont="1" applyAlignment="1">
      <alignment vertical="top" wrapText="1"/>
    </xf>
    <xf numFmtId="0" fontId="13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9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26" fillId="2" borderId="2" xfId="0" applyFont="1" applyFill="1" applyBorder="1" applyAlignment="1">
      <alignment horizontal="center"/>
    </xf>
    <xf numFmtId="0" fontId="26" fillId="2" borderId="28" xfId="0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0" fontId="0" fillId="0" borderId="60" xfId="0" applyBorder="1" applyAlignment="1">
      <alignment horizontal="center" vertical="center" wrapText="1"/>
    </xf>
    <xf numFmtId="0" fontId="0" fillId="0" borderId="37" xfId="0" applyBorder="1" applyAlignment="1">
      <alignment horizontal="center"/>
    </xf>
    <xf numFmtId="0" fontId="0" fillId="0" borderId="60" xfId="0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171" fontId="0" fillId="0" borderId="59" xfId="0" applyNumberFormat="1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168" fontId="0" fillId="0" borderId="60" xfId="0" applyNumberFormat="1" applyBorder="1" applyAlignment="1">
      <alignment horizontal="center" vertical="center"/>
    </xf>
    <xf numFmtId="171" fontId="0" fillId="0" borderId="60" xfId="0" applyNumberForma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2" borderId="31" xfId="0" applyFill="1" applyBorder="1"/>
    <xf numFmtId="167" fontId="0" fillId="0" borderId="60" xfId="0" applyNumberFormat="1" applyBorder="1" applyAlignment="1">
      <alignment horizontal="center"/>
    </xf>
    <xf numFmtId="169" fontId="0" fillId="0" borderId="60" xfId="0" applyNumberFormat="1" applyBorder="1" applyAlignment="1">
      <alignment horizontal="center"/>
    </xf>
    <xf numFmtId="0" fontId="0" fillId="3" borderId="60" xfId="0" applyFill="1" applyBorder="1" applyAlignment="1">
      <alignment horizontal="center" vertical="center"/>
    </xf>
    <xf numFmtId="164" fontId="0" fillId="3" borderId="60" xfId="0" applyNumberFormat="1" applyFill="1" applyBorder="1" applyAlignment="1">
      <alignment horizontal="center" vertical="center"/>
    </xf>
    <xf numFmtId="0" fontId="28" fillId="3" borderId="60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164" fontId="0" fillId="3" borderId="60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13" fillId="0" borderId="37" xfId="0" applyFont="1" applyBorder="1" applyAlignment="1">
      <alignment vertical="center" wrapText="1"/>
    </xf>
    <xf numFmtId="0" fontId="26" fillId="2" borderId="29" xfId="0" applyFont="1" applyFill="1" applyBorder="1" applyAlignment="1">
      <alignment horizontal="center"/>
    </xf>
    <xf numFmtId="166" fontId="0" fillId="0" borderId="60" xfId="0" applyNumberFormat="1" applyBorder="1" applyAlignment="1">
      <alignment horizontal="center"/>
    </xf>
    <xf numFmtId="169" fontId="0" fillId="0" borderId="3" xfId="0" applyNumberFormat="1" applyBorder="1" applyAlignment="1">
      <alignment horizontal="center" vertical="center"/>
    </xf>
    <xf numFmtId="2" fontId="0" fillId="0" borderId="43" xfId="0" applyNumberFormat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2" fillId="2" borderId="74" xfId="0" applyFont="1" applyFill="1" applyBorder="1" applyAlignment="1">
      <alignment horizontal="center" vertical="center"/>
    </xf>
    <xf numFmtId="0" fontId="0" fillId="2" borderId="107" xfId="0" applyFill="1" applyBorder="1"/>
    <xf numFmtId="0" fontId="0" fillId="0" borderId="98" xfId="0" applyBorder="1" applyAlignment="1">
      <alignment horizontal="center"/>
    </xf>
    <xf numFmtId="0" fontId="0" fillId="2" borderId="30" xfId="0" applyFill="1" applyBorder="1"/>
    <xf numFmtId="0" fontId="0" fillId="0" borderId="93" xfId="0" applyBorder="1" applyAlignment="1">
      <alignment horizontal="center"/>
    </xf>
    <xf numFmtId="168" fontId="0" fillId="0" borderId="15" xfId="0" applyNumberFormat="1" applyBorder="1" applyAlignment="1">
      <alignment horizontal="center" vertical="center"/>
    </xf>
    <xf numFmtId="171" fontId="0" fillId="0" borderId="15" xfId="0" applyNumberFormat="1" applyBorder="1" applyAlignment="1">
      <alignment horizontal="center" vertical="center"/>
    </xf>
    <xf numFmtId="0" fontId="0" fillId="0" borderId="88" xfId="0" applyBorder="1" applyAlignment="1">
      <alignment horizontal="center" vertical="center" wrapText="1"/>
    </xf>
    <xf numFmtId="167" fontId="0" fillId="0" borderId="3" xfId="0" applyNumberForma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3" fillId="0" borderId="12" xfId="0" applyFont="1" applyBorder="1" applyAlignment="1">
      <alignment horizontal="center" vertical="center"/>
    </xf>
    <xf numFmtId="0" fontId="28" fillId="3" borderId="60" xfId="0" applyFont="1" applyFill="1" applyBorder="1" applyAlignment="1">
      <alignment horizontal="center" vertical="center"/>
    </xf>
    <xf numFmtId="9" fontId="13" fillId="0" borderId="60" xfId="0" applyNumberFormat="1" applyFont="1" applyBorder="1" applyAlignment="1">
      <alignment horizontal="center"/>
    </xf>
    <xf numFmtId="2" fontId="13" fillId="0" borderId="60" xfId="0" applyNumberFormat="1" applyFont="1" applyBorder="1" applyAlignment="1">
      <alignment horizontal="center"/>
    </xf>
    <xf numFmtId="9" fontId="13" fillId="0" borderId="1" xfId="0" applyNumberFormat="1" applyFont="1" applyBorder="1" applyAlignment="1">
      <alignment horizontal="center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29" fillId="2" borderId="44" xfId="0" applyFont="1" applyFill="1" applyBorder="1" applyAlignment="1">
      <alignment horizontal="center" wrapText="1"/>
    </xf>
    <xf numFmtId="0" fontId="29" fillId="2" borderId="46" xfId="0" applyFont="1" applyFill="1" applyBorder="1" applyAlignment="1">
      <alignment horizontal="center" wrapText="1"/>
    </xf>
    <xf numFmtId="0" fontId="11" fillId="0" borderId="60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/>
    </xf>
    <xf numFmtId="166" fontId="11" fillId="0" borderId="60" xfId="0" applyNumberFormat="1" applyFont="1" applyBorder="1" applyAlignment="1">
      <alignment horizontal="center" vertical="center"/>
    </xf>
    <xf numFmtId="10" fontId="11" fillId="0" borderId="60" xfId="0" applyNumberFormat="1" applyFont="1" applyBorder="1" applyAlignment="1">
      <alignment horizontal="center" vertical="center"/>
    </xf>
    <xf numFmtId="167" fontId="11" fillId="0" borderId="60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166" fontId="11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67" fontId="11" fillId="0" borderId="1" xfId="0" applyNumberFormat="1" applyFont="1" applyBorder="1" applyAlignment="1">
      <alignment horizontal="center" vertical="center"/>
    </xf>
    <xf numFmtId="0" fontId="11" fillId="3" borderId="90" xfId="0" applyFont="1" applyFill="1" applyBorder="1" applyAlignment="1" applyProtection="1">
      <alignment horizontal="center" vertical="center"/>
      <protection locked="0"/>
    </xf>
    <xf numFmtId="0" fontId="21" fillId="2" borderId="1" xfId="0" applyFont="1" applyFill="1" applyBorder="1" applyAlignment="1">
      <alignment horizontal="center" vertical="center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11" fillId="3" borderId="88" xfId="0" applyFont="1" applyFill="1" applyBorder="1" applyAlignment="1" applyProtection="1">
      <alignment horizontal="center" vertical="center"/>
      <protection locked="0"/>
    </xf>
    <xf numFmtId="0" fontId="11" fillId="0" borderId="23" xfId="0" applyFont="1" applyBorder="1" applyAlignment="1">
      <alignment horizontal="center" vertical="center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2" borderId="75" xfId="0" applyFont="1" applyFill="1" applyBorder="1" applyAlignment="1">
      <alignment vertical="top" wrapText="1"/>
    </xf>
    <xf numFmtId="0" fontId="21" fillId="2" borderId="8" xfId="0" applyFont="1" applyFill="1" applyBorder="1" applyAlignment="1">
      <alignment horizontal="left" indent="1"/>
    </xf>
    <xf numFmtId="0" fontId="11" fillId="3" borderId="31" xfId="0" applyFont="1" applyFill="1" applyBorder="1" applyAlignment="1" applyProtection="1">
      <alignment horizontal="center" vertical="center"/>
      <protection locked="0"/>
    </xf>
    <xf numFmtId="0" fontId="11" fillId="3" borderId="15" xfId="0" applyFont="1" applyFill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3" borderId="23" xfId="0" applyFont="1" applyFill="1" applyBorder="1" applyAlignment="1" applyProtection="1">
      <alignment horizontal="center" vertical="center"/>
      <protection locked="0"/>
    </xf>
    <xf numFmtId="0" fontId="21" fillId="2" borderId="10" xfId="0" applyFont="1" applyFill="1" applyBorder="1" applyAlignment="1">
      <alignment horizontal="left" indent="1"/>
    </xf>
    <xf numFmtId="0" fontId="11" fillId="3" borderId="30" xfId="0" applyFont="1" applyFill="1" applyBorder="1" applyAlignment="1" applyProtection="1">
      <alignment horizontal="center" vertical="center"/>
      <protection locked="0"/>
    </xf>
    <xf numFmtId="0" fontId="21" fillId="2" borderId="30" xfId="0" applyFont="1" applyFill="1" applyBorder="1" applyAlignment="1">
      <alignment horizontal="center" vertical="center"/>
    </xf>
    <xf numFmtId="0" fontId="11" fillId="4" borderId="0" xfId="0" applyFont="1" applyFill="1"/>
    <xf numFmtId="0" fontId="21" fillId="2" borderId="31" xfId="0" applyFont="1" applyFill="1" applyBorder="1" applyAlignment="1">
      <alignment horizontal="center" vertical="center"/>
    </xf>
    <xf numFmtId="0" fontId="11" fillId="3" borderId="60" xfId="0" applyFont="1" applyFill="1" applyBorder="1" applyAlignment="1" applyProtection="1">
      <alignment horizontal="center" vertical="center"/>
      <protection locked="0"/>
    </xf>
    <xf numFmtId="0" fontId="11" fillId="3" borderId="60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2" fontId="11" fillId="0" borderId="30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/>
    </xf>
    <xf numFmtId="0" fontId="11" fillId="0" borderId="0" xfId="0" applyFont="1" applyAlignment="1">
      <alignment horizontal="center"/>
    </xf>
    <xf numFmtId="167" fontId="11" fillId="0" borderId="0" xfId="0" applyNumberFormat="1" applyFont="1"/>
    <xf numFmtId="167" fontId="11" fillId="0" borderId="0" xfId="0" applyNumberFormat="1" applyFont="1" applyAlignment="1">
      <alignment horizontal="center"/>
    </xf>
    <xf numFmtId="0" fontId="21" fillId="2" borderId="28" xfId="0" applyFont="1" applyFill="1" applyBorder="1" applyAlignment="1">
      <alignment horizontal="right" indent="1"/>
    </xf>
    <xf numFmtId="2" fontId="11" fillId="0" borderId="1" xfId="0" applyNumberFormat="1" applyFont="1" applyBorder="1" applyAlignment="1">
      <alignment horizontal="center"/>
    </xf>
    <xf numFmtId="0" fontId="21" fillId="2" borderId="8" xfId="0" applyFont="1" applyFill="1" applyBorder="1" applyAlignment="1">
      <alignment horizontal="center"/>
    </xf>
    <xf numFmtId="0" fontId="21" fillId="2" borderId="10" xfId="0" applyFont="1" applyFill="1" applyBorder="1" applyAlignment="1">
      <alignment horizontal="center"/>
    </xf>
    <xf numFmtId="0" fontId="21" fillId="2" borderId="31" xfId="0" applyFont="1" applyFill="1" applyBorder="1" applyAlignment="1">
      <alignment horizontal="right" indent="1"/>
    </xf>
    <xf numFmtId="0" fontId="21" fillId="2" borderId="95" xfId="0" applyFont="1" applyFill="1" applyBorder="1" applyAlignment="1">
      <alignment horizontal="right" vertical="center" indent="1"/>
    </xf>
    <xf numFmtId="0" fontId="11" fillId="0" borderId="43" xfId="0" applyFont="1" applyBorder="1" applyAlignment="1">
      <alignment horizontal="center" vertical="center"/>
    </xf>
    <xf numFmtId="0" fontId="11" fillId="0" borderId="88" xfId="0" applyFont="1" applyBorder="1" applyAlignment="1">
      <alignment horizontal="center" vertical="center"/>
    </xf>
    <xf numFmtId="166" fontId="11" fillId="0" borderId="43" xfId="0" applyNumberFormat="1" applyFont="1" applyBorder="1" applyAlignment="1">
      <alignment horizontal="center" vertical="center"/>
    </xf>
    <xf numFmtId="0" fontId="21" fillId="2" borderId="44" xfId="0" applyFont="1" applyFill="1" applyBorder="1" applyAlignment="1">
      <alignment horizontal="right" vertical="center" indent="1"/>
    </xf>
    <xf numFmtId="0" fontId="11" fillId="0" borderId="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21" fillId="2" borderId="46" xfId="0" applyFont="1" applyFill="1" applyBorder="1" applyAlignment="1">
      <alignment horizontal="right" vertical="center" indent="1"/>
    </xf>
    <xf numFmtId="0" fontId="21" fillId="2" borderId="115" xfId="0" applyFont="1" applyFill="1" applyBorder="1" applyAlignment="1">
      <alignment horizontal="right" indent="1"/>
    </xf>
    <xf numFmtId="167" fontId="11" fillId="0" borderId="113" xfId="0" applyNumberFormat="1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11" fontId="11" fillId="0" borderId="3" xfId="0" applyNumberFormat="1" applyFont="1" applyBorder="1" applyAlignment="1">
      <alignment horizontal="center"/>
    </xf>
    <xf numFmtId="0" fontId="21" fillId="2" borderId="116" xfId="0" applyFont="1" applyFill="1" applyBorder="1" applyAlignment="1">
      <alignment horizontal="right" indent="1"/>
    </xf>
    <xf numFmtId="11" fontId="11" fillId="0" borderId="0" xfId="0" applyNumberFormat="1" applyFont="1"/>
    <xf numFmtId="0" fontId="21" fillId="2" borderId="106" xfId="0" applyFont="1" applyFill="1" applyBorder="1" applyAlignment="1">
      <alignment horizontal="right" indent="1"/>
    </xf>
    <xf numFmtId="11" fontId="11" fillId="0" borderId="1" xfId="0" applyNumberFormat="1" applyFont="1" applyBorder="1" applyAlignment="1">
      <alignment horizontal="center"/>
    </xf>
    <xf numFmtId="0" fontId="21" fillId="2" borderId="105" xfId="0" applyFont="1" applyFill="1" applyBorder="1" applyAlignment="1">
      <alignment horizontal="right" indent="1"/>
    </xf>
    <xf numFmtId="0" fontId="11" fillId="0" borderId="1" xfId="0" applyFont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/>
    </xf>
    <xf numFmtId="0" fontId="26" fillId="2" borderId="75" xfId="0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21" fillId="2" borderId="17" xfId="0" applyFont="1" applyFill="1" applyBorder="1" applyAlignment="1">
      <alignment horizontal="left" vertical="center" wrapText="1"/>
    </xf>
    <xf numFmtId="0" fontId="11" fillId="0" borderId="60" xfId="0" applyFont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left" vertical="center"/>
    </xf>
    <xf numFmtId="0" fontId="21" fillId="2" borderId="14" xfId="0" applyFont="1" applyFill="1" applyBorder="1" applyAlignment="1">
      <alignment horizontal="left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left" vertical="center" wrapText="1"/>
    </xf>
    <xf numFmtId="0" fontId="29" fillId="2" borderId="76" xfId="0" applyFont="1" applyFill="1" applyBorder="1" applyAlignment="1">
      <alignment horizontal="center" wrapText="1"/>
    </xf>
    <xf numFmtId="0" fontId="29" fillId="2" borderId="77" xfId="0" applyFont="1" applyFill="1" applyBorder="1" applyAlignment="1">
      <alignment horizontal="center" wrapText="1"/>
    </xf>
    <xf numFmtId="0" fontId="11" fillId="0" borderId="60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164" fontId="11" fillId="0" borderId="1" xfId="0" applyNumberFormat="1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3" xfId="0" applyFont="1" applyBorder="1" applyAlignment="1">
      <alignment horizontal="center" wrapText="1"/>
    </xf>
    <xf numFmtId="164" fontId="11" fillId="0" borderId="3" xfId="0" applyNumberFormat="1" applyFont="1" applyBorder="1" applyAlignment="1">
      <alignment horizontal="center" wrapText="1"/>
    </xf>
    <xf numFmtId="0" fontId="21" fillId="2" borderId="28" xfId="0" applyFont="1" applyFill="1" applyBorder="1" applyAlignment="1">
      <alignment horizontal="right" vertical="center" wrapText="1" indent="1"/>
    </xf>
    <xf numFmtId="0" fontId="21" fillId="2" borderId="44" xfId="0" applyFont="1" applyFill="1" applyBorder="1" applyAlignment="1">
      <alignment horizontal="right" vertical="center" wrapText="1" indent="1"/>
    </xf>
    <xf numFmtId="0" fontId="21" fillId="2" borderId="31" xfId="0" applyFont="1" applyFill="1" applyBorder="1" applyAlignment="1">
      <alignment horizontal="right" vertical="center" wrapText="1" indent="1"/>
    </xf>
    <xf numFmtId="0" fontId="21" fillId="2" borderId="46" xfId="0" applyFont="1" applyFill="1" applyBorder="1" applyAlignment="1">
      <alignment horizontal="right" vertical="center" wrapText="1" indent="1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21" fillId="2" borderId="44" xfId="0" applyFont="1" applyFill="1" applyBorder="1" applyAlignment="1">
      <alignment horizontal="left" vertical="center"/>
    </xf>
    <xf numFmtId="164" fontId="11" fillId="3" borderId="3" xfId="0" applyNumberFormat="1" applyFont="1" applyFill="1" applyBorder="1" applyAlignment="1" applyProtection="1">
      <alignment horizontal="center" vertical="center"/>
      <protection locked="0"/>
    </xf>
    <xf numFmtId="164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15" xfId="0" applyFont="1" applyFill="1" applyBorder="1" applyAlignment="1">
      <alignment horizontal="left" vertical="center"/>
    </xf>
    <xf numFmtId="0" fontId="21" fillId="2" borderId="46" xfId="0" applyFont="1" applyFill="1" applyBorder="1" applyAlignment="1">
      <alignment horizontal="left" vertical="center"/>
    </xf>
    <xf numFmtId="0" fontId="32" fillId="2" borderId="0" xfId="0" applyFont="1" applyFill="1" applyAlignment="1">
      <alignment horizontal="center" vertical="center"/>
    </xf>
    <xf numFmtId="0" fontId="21" fillId="2" borderId="17" xfId="0" applyFont="1" applyFill="1" applyBorder="1" applyAlignment="1">
      <alignment horizontal="left" vertical="center"/>
    </xf>
    <xf numFmtId="0" fontId="21" fillId="2" borderId="95" xfId="0" applyFont="1" applyFill="1" applyBorder="1" applyAlignment="1">
      <alignment horizontal="left" vertical="center"/>
    </xf>
    <xf numFmtId="0" fontId="11" fillId="3" borderId="43" xfId="0" applyFont="1" applyFill="1" applyBorder="1" applyAlignment="1" applyProtection="1">
      <alignment horizontal="center" vertical="center"/>
      <protection locked="0"/>
    </xf>
    <xf numFmtId="0" fontId="11" fillId="3" borderId="60" xfId="0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164" fontId="11" fillId="3" borderId="43" xfId="0" applyNumberFormat="1" applyFont="1" applyFill="1" applyBorder="1" applyAlignment="1" applyProtection="1">
      <alignment horizontal="center" vertical="center"/>
      <protection locked="0"/>
    </xf>
    <xf numFmtId="164" fontId="11" fillId="3" borderId="60" xfId="0" applyNumberFormat="1" applyFont="1" applyFill="1" applyBorder="1" applyAlignment="1" applyProtection="1">
      <alignment horizontal="center" vertical="center"/>
      <protection locked="0"/>
    </xf>
    <xf numFmtId="0" fontId="11" fillId="3" borderId="16" xfId="0" applyFont="1" applyFill="1" applyBorder="1" applyAlignment="1" applyProtection="1">
      <alignment horizontal="center" vertical="center"/>
      <protection locked="0"/>
    </xf>
    <xf numFmtId="0" fontId="21" fillId="2" borderId="77" xfId="0" applyFont="1" applyFill="1" applyBorder="1" applyAlignment="1">
      <alignment horizontal="right" vertical="center" wrapText="1" indent="1"/>
    </xf>
    <xf numFmtId="0" fontId="21" fillId="2" borderId="75" xfId="0" applyFont="1" applyFill="1" applyBorder="1" applyAlignment="1">
      <alignment horizontal="right" vertical="center" wrapText="1" indent="1"/>
    </xf>
    <xf numFmtId="0" fontId="11" fillId="3" borderId="12" xfId="0" applyFont="1" applyFill="1" applyBorder="1" applyAlignment="1" applyProtection="1">
      <alignment horizontal="center" vertical="center" wrapText="1"/>
      <protection locked="0"/>
    </xf>
    <xf numFmtId="0" fontId="33" fillId="0" borderId="57" xfId="0" applyFont="1" applyBorder="1" applyAlignment="1">
      <alignment horizontal="left" vertical="center" indent="1"/>
    </xf>
    <xf numFmtId="0" fontId="11" fillId="6" borderId="3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1" fillId="0" borderId="57" xfId="0" applyFont="1" applyBorder="1" applyAlignment="1">
      <alignment horizontal="center"/>
    </xf>
    <xf numFmtId="0" fontId="34" fillId="0" borderId="57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 indent="1"/>
    </xf>
    <xf numFmtId="0" fontId="21" fillId="2" borderId="21" xfId="0" applyFont="1" applyFill="1" applyBorder="1" applyAlignment="1">
      <alignment horizontal="left" vertical="center" wrapText="1" indent="1"/>
    </xf>
    <xf numFmtId="173" fontId="11" fillId="0" borderId="3" xfId="0" applyNumberFormat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1" fillId="0" borderId="98" xfId="0" applyNumberFormat="1" applyFont="1" applyBorder="1" applyAlignment="1">
      <alignment horizontal="center" vertical="center" wrapText="1"/>
    </xf>
    <xf numFmtId="4" fontId="11" fillId="0" borderId="97" xfId="0" applyNumberFormat="1" applyFont="1" applyBorder="1" applyAlignment="1">
      <alignment horizontal="center" vertical="center" wrapText="1"/>
    </xf>
    <xf numFmtId="4" fontId="11" fillId="0" borderId="100" xfId="0" applyNumberFormat="1" applyFont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right" vertical="center" wrapText="1" indent="1"/>
    </xf>
    <xf numFmtId="0" fontId="21" fillId="2" borderId="15" xfId="0" applyFont="1" applyFill="1" applyBorder="1" applyAlignment="1">
      <alignment horizontal="right" vertical="center" wrapText="1" indent="1"/>
    </xf>
    <xf numFmtId="10" fontId="11" fillId="3" borderId="3" xfId="0" applyNumberFormat="1" applyFont="1" applyFill="1" applyBorder="1" applyAlignment="1" applyProtection="1">
      <alignment horizontal="center" vertical="center"/>
      <protection locked="0"/>
    </xf>
    <xf numFmtId="10" fontId="11" fillId="3" borderId="1" xfId="0" applyNumberFormat="1" applyFont="1" applyFill="1" applyBorder="1" applyAlignment="1" applyProtection="1">
      <alignment horizontal="center" vertical="center"/>
      <protection locked="0"/>
    </xf>
    <xf numFmtId="10" fontId="11" fillId="0" borderId="3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11" fillId="0" borderId="97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21" fillId="2" borderId="75" xfId="0" applyFont="1" applyFill="1" applyBorder="1" applyAlignment="1">
      <alignment horizontal="center" vertical="center" wrapText="1"/>
    </xf>
    <xf numFmtId="0" fontId="21" fillId="2" borderId="76" xfId="0" applyFont="1" applyFill="1" applyBorder="1" applyAlignment="1">
      <alignment horizontal="center" vertical="center" wrapText="1"/>
    </xf>
    <xf numFmtId="0" fontId="21" fillId="2" borderId="77" xfId="0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1" fontId="11" fillId="3" borderId="3" xfId="0" applyNumberFormat="1" applyFont="1" applyFill="1" applyBorder="1" applyAlignment="1" applyProtection="1">
      <alignment horizontal="center" vertical="center" wrapText="1"/>
      <protection locked="0"/>
    </xf>
    <xf numFmtId="1" fontId="11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32" fillId="2" borderId="13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left" vertical="center" wrapText="1" indent="1"/>
    </xf>
    <xf numFmtId="0" fontId="21" fillId="2" borderId="13" xfId="0" applyFont="1" applyFill="1" applyBorder="1" applyAlignment="1">
      <alignment horizontal="right" vertical="center" wrapText="1" indent="1"/>
    </xf>
    <xf numFmtId="49" fontId="11" fillId="3" borderId="3" xfId="0" applyNumberFormat="1" applyFont="1" applyFill="1" applyBorder="1" applyAlignment="1" applyProtection="1">
      <alignment horizontal="center" vertical="center"/>
      <protection locked="0"/>
    </xf>
    <xf numFmtId="49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2" xfId="0" applyFont="1" applyFill="1" applyBorder="1" applyAlignment="1">
      <alignment horizontal="left" vertical="center"/>
    </xf>
    <xf numFmtId="0" fontId="21" fillId="2" borderId="44" xfId="0" applyFont="1" applyFill="1" applyBorder="1" applyAlignment="1">
      <alignment horizontal="left" vertical="center" wrapText="1"/>
    </xf>
    <xf numFmtId="0" fontId="21" fillId="2" borderId="46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 applyProtection="1">
      <alignment horizontal="left" vertical="center" wrapText="1"/>
      <protection locked="0"/>
    </xf>
    <xf numFmtId="0" fontId="11" fillId="3" borderId="1" xfId="0" applyFont="1" applyFill="1" applyBorder="1" applyAlignment="1" applyProtection="1">
      <alignment horizontal="left" vertical="center" wrapText="1"/>
      <protection locked="0"/>
    </xf>
    <xf numFmtId="0" fontId="21" fillId="2" borderId="13" xfId="0" applyFont="1" applyFill="1" applyBorder="1" applyAlignment="1">
      <alignment horizontal="left" vertical="center" wrapText="1"/>
    </xf>
    <xf numFmtId="0" fontId="21" fillId="2" borderId="75" xfId="0" applyFont="1" applyFill="1" applyBorder="1" applyAlignment="1">
      <alignment horizontal="left" vertical="center" wrapText="1"/>
    </xf>
    <xf numFmtId="0" fontId="25" fillId="0" borderId="3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164" fontId="11" fillId="0" borderId="43" xfId="0" applyNumberFormat="1" applyFont="1" applyBorder="1" applyAlignment="1">
      <alignment horizontal="center" wrapText="1"/>
    </xf>
    <xf numFmtId="164" fontId="11" fillId="0" borderId="60" xfId="0" applyNumberFormat="1" applyFont="1" applyBorder="1" applyAlignment="1">
      <alignment horizontal="center" wrapText="1"/>
    </xf>
    <xf numFmtId="0" fontId="21" fillId="2" borderId="113" xfId="0" applyFont="1" applyFill="1" applyBorder="1" applyAlignment="1">
      <alignment horizontal="center" vertical="center"/>
    </xf>
    <xf numFmtId="0" fontId="21" fillId="2" borderId="46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21" fillId="2" borderId="59" xfId="0" applyFont="1" applyFill="1" applyBorder="1" applyAlignment="1">
      <alignment horizontal="left" wrapText="1"/>
    </xf>
    <xf numFmtId="166" fontId="11" fillId="0" borderId="59" xfId="0" applyNumberFormat="1" applyFont="1" applyBorder="1" applyAlignment="1">
      <alignment horizontal="center" vertical="center"/>
    </xf>
    <xf numFmtId="166" fontId="11" fillId="0" borderId="60" xfId="0" applyNumberFormat="1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88" xfId="0" applyFont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1" fillId="2" borderId="69" xfId="0" applyFont="1" applyFill="1" applyBorder="1" applyAlignment="1">
      <alignment horizontal="center" vertical="center"/>
    </xf>
    <xf numFmtId="0" fontId="11" fillId="0" borderId="71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21" fillId="2" borderId="95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1" fillId="2" borderId="4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96" xfId="0" applyFont="1" applyFill="1" applyBorder="1" applyAlignment="1">
      <alignment horizontal="center" vertical="center" wrapText="1"/>
    </xf>
    <xf numFmtId="0" fontId="21" fillId="2" borderId="36" xfId="0" applyFont="1" applyFill="1" applyBorder="1" applyAlignment="1">
      <alignment horizontal="center" vertical="center" wrapText="1"/>
    </xf>
    <xf numFmtId="0" fontId="21" fillId="2" borderId="68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/>
    </xf>
    <xf numFmtId="0" fontId="21" fillId="2" borderId="76" xfId="0" applyFont="1" applyFill="1" applyBorder="1" applyAlignment="1">
      <alignment horizontal="center"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27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21" fillId="2" borderId="42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28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2" borderId="77" xfId="0" applyFont="1" applyFill="1" applyBorder="1" applyAlignment="1">
      <alignment horizontal="center" vertical="center"/>
    </xf>
    <xf numFmtId="173" fontId="11" fillId="0" borderId="12" xfId="0" applyNumberFormat="1" applyFont="1" applyBorder="1" applyAlignment="1">
      <alignment horizontal="center"/>
    </xf>
    <xf numFmtId="173" fontId="11" fillId="0" borderId="3" xfId="0" applyNumberFormat="1" applyFont="1" applyBorder="1" applyAlignment="1">
      <alignment horizontal="center"/>
    </xf>
    <xf numFmtId="0" fontId="21" fillId="2" borderId="15" xfId="0" applyFont="1" applyFill="1" applyBorder="1" applyAlignment="1">
      <alignment horizontal="right" indent="1"/>
    </xf>
    <xf numFmtId="0" fontId="21" fillId="2" borderId="91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right" indent="1"/>
    </xf>
    <xf numFmtId="0" fontId="21" fillId="2" borderId="46" xfId="0" applyFont="1" applyFill="1" applyBorder="1" applyAlignment="1">
      <alignment horizontal="right" vertical="center" indent="2"/>
    </xf>
    <xf numFmtId="0" fontId="21" fillId="2" borderId="30" xfId="0" applyFont="1" applyFill="1" applyBorder="1" applyAlignment="1">
      <alignment horizontal="right" vertical="center" indent="2"/>
    </xf>
    <xf numFmtId="0" fontId="21" fillId="2" borderId="36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37" xfId="0" applyFont="1" applyBorder="1" applyAlignment="1">
      <alignment horizontal="center"/>
    </xf>
    <xf numFmtId="0" fontId="21" fillId="2" borderId="14" xfId="0" applyFont="1" applyFill="1" applyBorder="1" applyAlignment="1">
      <alignment horizontal="left" vertical="center" wrapText="1" indent="1"/>
    </xf>
    <xf numFmtId="0" fontId="21" fillId="2" borderId="44" xfId="0" applyFont="1" applyFill="1" applyBorder="1" applyAlignment="1">
      <alignment horizontal="left" vertical="center" wrapText="1" inden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1" fillId="2" borderId="13" xfId="0" applyFont="1" applyFill="1" applyBorder="1" applyAlignment="1">
      <alignment horizontal="left" vertical="center" wrapText="1" indent="1"/>
    </xf>
    <xf numFmtId="0" fontId="21" fillId="2" borderId="75" xfId="0" applyFont="1" applyFill="1" applyBorder="1" applyAlignment="1">
      <alignment horizontal="left" vertical="center" wrapText="1" indent="1"/>
    </xf>
    <xf numFmtId="0" fontId="21" fillId="2" borderId="8" xfId="0" applyFont="1" applyFill="1" applyBorder="1" applyAlignment="1">
      <alignment horizontal="left" vertical="center" wrapText="1" indent="1"/>
    </xf>
    <xf numFmtId="0" fontId="21" fillId="2" borderId="4" xfId="0" applyFont="1" applyFill="1" applyBorder="1" applyAlignment="1">
      <alignment horizontal="left" vertical="center" wrapText="1" indent="1"/>
    </xf>
    <xf numFmtId="0" fontId="21" fillId="2" borderId="74" xfId="0" applyFont="1" applyFill="1" applyBorder="1" applyAlignment="1">
      <alignment horizontal="left" vertical="center" wrapText="1" indent="1"/>
    </xf>
    <xf numFmtId="0" fontId="11" fillId="3" borderId="24" xfId="0" applyFont="1" applyFill="1" applyBorder="1" applyAlignment="1" applyProtection="1">
      <alignment horizontal="center" vertical="center" wrapText="1"/>
      <protection locked="0"/>
    </xf>
    <xf numFmtId="0" fontId="11" fillId="3" borderId="27" xfId="0" applyFont="1" applyFill="1" applyBorder="1" applyAlignment="1" applyProtection="1">
      <alignment horizontal="center" vertical="center" wrapText="1"/>
      <protection locked="0"/>
    </xf>
    <xf numFmtId="0" fontId="11" fillId="3" borderId="33" xfId="0" applyFont="1" applyFill="1" applyBorder="1" applyAlignment="1" applyProtection="1">
      <alignment horizontal="center" vertical="center" wrapText="1"/>
      <protection locked="0"/>
    </xf>
    <xf numFmtId="0" fontId="11" fillId="3" borderId="43" xfId="0" applyFont="1" applyFill="1" applyBorder="1" applyAlignment="1" applyProtection="1">
      <alignment horizontal="center" vertical="center" wrapText="1"/>
      <protection locked="0"/>
    </xf>
    <xf numFmtId="0" fontId="21" fillId="2" borderId="30" xfId="0" applyFont="1" applyFill="1" applyBorder="1" applyAlignment="1">
      <alignment horizontal="center" vertical="center" wrapText="1"/>
    </xf>
    <xf numFmtId="0" fontId="21" fillId="2" borderId="31" xfId="0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/>
    </xf>
    <xf numFmtId="0" fontId="11" fillId="0" borderId="62" xfId="0" applyFont="1" applyBorder="1" applyAlignment="1">
      <alignment horizontal="center"/>
    </xf>
    <xf numFmtId="0" fontId="11" fillId="0" borderId="63" xfId="0" applyFont="1" applyBorder="1" applyAlignment="1">
      <alignment horizontal="center"/>
    </xf>
    <xf numFmtId="0" fontId="11" fillId="0" borderId="64" xfId="0" applyFont="1" applyBorder="1" applyAlignment="1">
      <alignment horizontal="center"/>
    </xf>
    <xf numFmtId="0" fontId="11" fillId="0" borderId="65" xfId="0" applyFont="1" applyBorder="1" applyAlignment="1">
      <alignment horizontal="center"/>
    </xf>
    <xf numFmtId="0" fontId="11" fillId="0" borderId="66" xfId="0" applyFont="1" applyBorder="1" applyAlignment="1">
      <alignment horizontal="center"/>
    </xf>
    <xf numFmtId="0" fontId="32" fillId="2" borderId="1" xfId="0" applyFont="1" applyFill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34" fillId="0" borderId="80" xfId="0" applyFont="1" applyBorder="1" applyAlignment="1">
      <alignment horizontal="center" vertical="center"/>
    </xf>
    <xf numFmtId="0" fontId="34" fillId="0" borderId="83" xfId="0" applyFont="1" applyBorder="1" applyAlignment="1">
      <alignment horizontal="center" vertical="center"/>
    </xf>
    <xf numFmtId="0" fontId="34" fillId="0" borderId="84" xfId="0" applyFont="1" applyBorder="1" applyAlignment="1">
      <alignment horizontal="center" vertical="center"/>
    </xf>
    <xf numFmtId="0" fontId="34" fillId="0" borderId="8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85" xfId="0" applyFont="1" applyBorder="1" applyAlignment="1">
      <alignment horizontal="center" vertical="center"/>
    </xf>
    <xf numFmtId="0" fontId="34" fillId="0" borderId="82" xfId="0" applyFont="1" applyBorder="1" applyAlignment="1">
      <alignment horizontal="center" vertical="center"/>
    </xf>
    <xf numFmtId="0" fontId="34" fillId="0" borderId="86" xfId="0" applyFont="1" applyBorder="1" applyAlignment="1">
      <alignment horizontal="center" vertical="center"/>
    </xf>
    <xf numFmtId="0" fontId="34" fillId="0" borderId="87" xfId="0" applyFont="1" applyBorder="1" applyAlignment="1">
      <alignment horizontal="center" vertical="center"/>
    </xf>
    <xf numFmtId="0" fontId="21" fillId="2" borderId="15" xfId="0" applyFont="1" applyFill="1" applyBorder="1" applyAlignment="1">
      <alignment horizontal="left" vertical="center" wrapText="1" indent="1"/>
    </xf>
    <xf numFmtId="0" fontId="21" fillId="2" borderId="46" xfId="0" applyFont="1" applyFill="1" applyBorder="1" applyAlignment="1">
      <alignment horizontal="left" vertical="center" wrapText="1" indent="1"/>
    </xf>
    <xf numFmtId="0" fontId="21" fillId="2" borderId="46" xfId="0" applyFont="1" applyFill="1" applyBorder="1" applyAlignment="1">
      <alignment horizontal="center" vertical="center" wrapText="1"/>
    </xf>
    <xf numFmtId="0" fontId="21" fillId="2" borderId="114" xfId="0" applyFont="1" applyFill="1" applyBorder="1" applyAlignment="1">
      <alignment horizontal="center" vertical="center" wrapText="1"/>
    </xf>
    <xf numFmtId="0" fontId="21" fillId="2" borderId="112" xfId="0" applyFont="1" applyFill="1" applyBorder="1" applyAlignment="1">
      <alignment horizontal="center" vertical="center" wrapText="1"/>
    </xf>
    <xf numFmtId="0" fontId="21" fillId="2" borderId="92" xfId="0" applyFont="1" applyFill="1" applyBorder="1" applyAlignment="1">
      <alignment horizontal="center" vertical="center" wrapText="1"/>
    </xf>
    <xf numFmtId="0" fontId="21" fillId="2" borderId="110" xfId="0" applyFont="1" applyFill="1" applyBorder="1" applyAlignment="1">
      <alignment horizontal="center" vertical="center"/>
    </xf>
    <xf numFmtId="0" fontId="21" fillId="2" borderId="111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horizontal="center"/>
    </xf>
    <xf numFmtId="0" fontId="19" fillId="2" borderId="129" xfId="0" applyFont="1" applyFill="1" applyBorder="1" applyAlignment="1">
      <alignment horizontal="center" vertical="center" wrapText="1"/>
    </xf>
    <xf numFmtId="0" fontId="19" fillId="2" borderId="110" xfId="0" applyFont="1" applyFill="1" applyBorder="1" applyAlignment="1">
      <alignment horizontal="center" vertical="center" wrapText="1"/>
    </xf>
    <xf numFmtId="0" fontId="19" fillId="2" borderId="111" xfId="0" applyFont="1" applyFill="1" applyBorder="1" applyAlignment="1">
      <alignment horizontal="center" vertical="center" wrapText="1"/>
    </xf>
    <xf numFmtId="0" fontId="19" fillId="2" borderId="131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0" fontId="19" fillId="2" borderId="76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textRotation="90"/>
    </xf>
    <xf numFmtId="0" fontId="13" fillId="0" borderId="60" xfId="0" applyFont="1" applyBorder="1" applyAlignment="1">
      <alignment horizontal="center"/>
    </xf>
    <xf numFmtId="0" fontId="19" fillId="2" borderId="76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75" xfId="0" applyFont="1" applyFill="1" applyBorder="1" applyAlignment="1">
      <alignment horizontal="center" vertical="center" wrapText="1"/>
    </xf>
    <xf numFmtId="0" fontId="19" fillId="2" borderId="44" xfId="0" applyFont="1" applyFill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/>
    </xf>
    <xf numFmtId="0" fontId="25" fillId="0" borderId="26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93" xfId="0" applyFont="1" applyFill="1" applyBorder="1" applyAlignment="1">
      <alignment horizontal="center" vertical="center" wrapText="1"/>
    </xf>
    <xf numFmtId="0" fontId="19" fillId="2" borderId="92" xfId="0" applyFont="1" applyFill="1" applyBorder="1" applyAlignment="1">
      <alignment horizontal="center" vertical="center" wrapText="1"/>
    </xf>
    <xf numFmtId="0" fontId="19" fillId="2" borderId="23" xfId="0" applyFont="1" applyFill="1" applyBorder="1" applyAlignment="1">
      <alignment horizontal="center" vertical="center" wrapText="1"/>
    </xf>
    <xf numFmtId="0" fontId="19" fillId="2" borderId="94" xfId="0" applyFont="1" applyFill="1" applyBorder="1" applyAlignment="1">
      <alignment horizontal="center" vertical="center" wrapText="1"/>
    </xf>
    <xf numFmtId="0" fontId="19" fillId="2" borderId="77" xfId="0" applyFont="1" applyFill="1" applyBorder="1" applyAlignment="1">
      <alignment horizontal="center" vertical="center" wrapText="1"/>
    </xf>
    <xf numFmtId="0" fontId="13" fillId="0" borderId="60" xfId="0" applyFont="1" applyBorder="1" applyAlignment="1">
      <alignment horizontal="left" vertical="center" wrapText="1"/>
    </xf>
    <xf numFmtId="164" fontId="13" fillId="0" borderId="60" xfId="0" applyNumberFormat="1" applyFont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 wrapText="1"/>
    </xf>
    <xf numFmtId="0" fontId="19" fillId="2" borderId="132" xfId="0" applyFont="1" applyFill="1" applyBorder="1" applyAlignment="1">
      <alignment horizontal="center" vertical="center" wrapText="1"/>
    </xf>
    <xf numFmtId="0" fontId="19" fillId="2" borderId="134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0" fontId="13" fillId="0" borderId="121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13" fillId="0" borderId="123" xfId="0" applyFont="1" applyBorder="1" applyAlignment="1">
      <alignment horizontal="center" vertical="center"/>
    </xf>
    <xf numFmtId="0" fontId="13" fillId="0" borderId="124" xfId="0" applyFont="1" applyBorder="1" applyAlignment="1">
      <alignment horizontal="center" vertical="center"/>
    </xf>
    <xf numFmtId="0" fontId="19" fillId="2" borderId="70" xfId="0" applyFont="1" applyFill="1" applyBorder="1" applyAlignment="1">
      <alignment horizontal="center" vertical="center" wrapText="1"/>
    </xf>
    <xf numFmtId="0" fontId="19" fillId="2" borderId="68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74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09" xfId="0" applyFont="1" applyFill="1" applyBorder="1" applyAlignment="1">
      <alignment horizontal="center" vertical="center" wrapText="1"/>
    </xf>
    <xf numFmtId="0" fontId="19" fillId="2" borderId="130" xfId="0" applyFont="1" applyFill="1" applyBorder="1" applyAlignment="1">
      <alignment horizontal="center" vertical="center"/>
    </xf>
    <xf numFmtId="0" fontId="19" fillId="2" borderId="125" xfId="0" applyFont="1" applyFill="1" applyBorder="1" applyAlignment="1">
      <alignment horizontal="center" vertical="center"/>
    </xf>
    <xf numFmtId="0" fontId="19" fillId="2" borderId="126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9" fillId="2" borderId="96" xfId="0" applyFont="1" applyFill="1" applyBorder="1" applyAlignment="1">
      <alignment horizontal="center" vertical="center"/>
    </xf>
    <xf numFmtId="0" fontId="19" fillId="2" borderId="70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19" fillId="2" borderId="68" xfId="0" applyFont="1" applyFill="1" applyBorder="1" applyAlignment="1">
      <alignment horizontal="center" vertical="center"/>
    </xf>
    <xf numFmtId="0" fontId="19" fillId="2" borderId="133" xfId="0" applyFont="1" applyFill="1" applyBorder="1" applyAlignment="1">
      <alignment horizontal="center" vertical="center" wrapText="1"/>
    </xf>
    <xf numFmtId="0" fontId="19" fillId="2" borderId="91" xfId="0" applyFont="1" applyFill="1" applyBorder="1" applyAlignment="1">
      <alignment horizontal="center" vertical="center" wrapText="1"/>
    </xf>
    <xf numFmtId="0" fontId="19" fillId="2" borderId="72" xfId="0" applyFont="1" applyFill="1" applyBorder="1" applyAlignment="1">
      <alignment horizontal="center" vertical="center" wrapText="1"/>
    </xf>
    <xf numFmtId="0" fontId="19" fillId="2" borderId="125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27" xfId="0" applyFont="1" applyBorder="1" applyAlignment="1">
      <alignment horizontal="center" vertical="center"/>
    </xf>
    <xf numFmtId="0" fontId="13" fillId="0" borderId="128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9" fillId="2" borderId="28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/>
    </xf>
    <xf numFmtId="0" fontId="19" fillId="2" borderId="28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right" vertical="center"/>
    </xf>
    <xf numFmtId="164" fontId="14" fillId="0" borderId="0" xfId="0" applyNumberFormat="1" applyFont="1" applyAlignment="1">
      <alignment horizontal="left" vertical="center" indent="1"/>
    </xf>
    <xf numFmtId="0" fontId="15" fillId="0" borderId="0" xfId="0" applyFont="1" applyAlignment="1">
      <alignment horizontal="left"/>
    </xf>
    <xf numFmtId="0" fontId="31" fillId="0" borderId="0" xfId="0" applyFont="1" applyAlignment="1">
      <alignment horizontal="center" vertical="center"/>
    </xf>
    <xf numFmtId="0" fontId="0" fillId="0" borderId="57" xfId="0" applyBorder="1" applyAlignment="1">
      <alignment horizontal="center"/>
    </xf>
    <xf numFmtId="0" fontId="16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top" wrapText="1" indent="1"/>
    </xf>
    <xf numFmtId="0" fontId="27" fillId="0" borderId="0" xfId="0" applyFont="1" applyAlignment="1">
      <alignment horizontal="left" vertical="top" wrapText="1" indent="1"/>
    </xf>
    <xf numFmtId="0" fontId="26" fillId="2" borderId="2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60" xfId="0" applyFont="1" applyBorder="1" applyAlignment="1">
      <alignment horizontal="center" vertical="top" wrapText="1"/>
    </xf>
    <xf numFmtId="164" fontId="0" fillId="0" borderId="31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0" fillId="0" borderId="23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77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0" fillId="3" borderId="31" xfId="0" applyNumberFormat="1" applyFill="1" applyBorder="1" applyAlignment="1">
      <alignment horizontal="center" vertical="center" wrapText="1"/>
    </xf>
    <xf numFmtId="164" fontId="0" fillId="3" borderId="15" xfId="0" applyNumberFormat="1" applyFill="1" applyBorder="1" applyAlignment="1">
      <alignment horizontal="center" vertical="center" wrapText="1"/>
    </xf>
    <xf numFmtId="164" fontId="0" fillId="3" borderId="23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164" fontId="0" fillId="3" borderId="77" xfId="0" applyNumberFormat="1" applyFill="1" applyBorder="1" applyAlignment="1">
      <alignment horizontal="center" vertical="center" wrapText="1"/>
    </xf>
    <xf numFmtId="164" fontId="0" fillId="3" borderId="13" xfId="0" applyNumberForma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75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95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left" indent="1"/>
    </xf>
    <xf numFmtId="0" fontId="2" fillId="2" borderId="73" xfId="0" applyFont="1" applyFill="1" applyBorder="1" applyAlignment="1">
      <alignment horizontal="left" indent="1"/>
    </xf>
    <xf numFmtId="0" fontId="2" fillId="2" borderId="92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94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indent="1"/>
    </xf>
    <xf numFmtId="0" fontId="2" fillId="2" borderId="28" xfId="0" applyFont="1" applyFill="1" applyBorder="1" applyAlignment="1">
      <alignment horizontal="left" indent="1"/>
    </xf>
    <xf numFmtId="0" fontId="2" fillId="2" borderId="29" xfId="0" applyFont="1" applyFill="1" applyBorder="1" applyAlignment="1">
      <alignment horizontal="left" indent="1"/>
    </xf>
    <xf numFmtId="0" fontId="2" fillId="2" borderId="32" xfId="0" applyFont="1" applyFill="1" applyBorder="1" applyAlignment="1">
      <alignment horizontal="left" indent="1"/>
    </xf>
    <xf numFmtId="0" fontId="2" fillId="2" borderId="30" xfId="0" applyFont="1" applyFill="1" applyBorder="1" applyAlignment="1">
      <alignment horizontal="left" vertical="center" indent="1"/>
    </xf>
    <xf numFmtId="0" fontId="2" fillId="2" borderId="31" xfId="0" applyFont="1" applyFill="1" applyBorder="1" applyAlignment="1">
      <alignment horizontal="left" vertical="center" inden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2" fillId="2" borderId="74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93" xfId="0" applyFont="1" applyFill="1" applyBorder="1" applyAlignment="1">
      <alignment horizontal="center" vertical="center" wrapText="1"/>
    </xf>
    <xf numFmtId="0" fontId="2" fillId="2" borderId="76" xfId="0" applyFont="1" applyFill="1" applyBorder="1" applyAlignment="1">
      <alignment horizontal="center" vertical="center" wrapText="1"/>
    </xf>
    <xf numFmtId="0" fontId="2" fillId="2" borderId="77" xfId="0" applyFont="1" applyFill="1" applyBorder="1" applyAlignment="1">
      <alignment horizontal="center" vertical="center" wrapText="1"/>
    </xf>
    <xf numFmtId="0" fontId="2" fillId="2" borderId="99" xfId="0" applyFont="1" applyFill="1" applyBorder="1" applyAlignment="1">
      <alignment horizontal="center" vertical="center" textRotation="90" wrapText="1"/>
    </xf>
    <xf numFmtId="0" fontId="2" fillId="2" borderId="59" xfId="0" applyFont="1" applyFill="1" applyBorder="1" applyAlignment="1">
      <alignment horizontal="center" vertical="center" textRotation="90" wrapText="1"/>
    </xf>
    <xf numFmtId="0" fontId="2" fillId="2" borderId="17" xfId="0" applyFont="1" applyFill="1" applyBorder="1" applyAlignment="1">
      <alignment horizontal="center" vertical="center" textRotation="90" wrapText="1"/>
    </xf>
    <xf numFmtId="0" fontId="2" fillId="2" borderId="60" xfId="0" applyFont="1" applyFill="1" applyBorder="1" applyAlignment="1">
      <alignment horizontal="center" vertical="center" textRotation="90" wrapText="1"/>
    </xf>
    <xf numFmtId="0" fontId="0" fillId="0" borderId="2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7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43" xfId="0" applyBorder="1" applyAlignment="1">
      <alignment horizontal="center"/>
    </xf>
    <xf numFmtId="0" fontId="2" fillId="2" borderId="14" xfId="0" applyFont="1" applyFill="1" applyBorder="1" applyAlignment="1">
      <alignment horizontal="center" vertical="center" textRotation="90" wrapText="1"/>
    </xf>
    <xf numFmtId="0" fontId="2" fillId="2" borderId="44" xfId="0" applyFont="1" applyFill="1" applyBorder="1" applyAlignment="1">
      <alignment horizontal="right" vertical="center" wrapText="1" indent="1"/>
    </xf>
    <xf numFmtId="0" fontId="0" fillId="0" borderId="2" xfId="0" applyBorder="1" applyAlignment="1">
      <alignment horizontal="center"/>
    </xf>
    <xf numFmtId="0" fontId="0" fillId="0" borderId="29" xfId="0" applyBorder="1" applyAlignment="1">
      <alignment horizontal="center"/>
    </xf>
    <xf numFmtId="0" fontId="2" fillId="2" borderId="2" xfId="0" applyFont="1" applyFill="1" applyBorder="1" applyAlignment="1">
      <alignment horizontal="right" vertical="center" wrapText="1" indent="1"/>
    </xf>
    <xf numFmtId="0" fontId="2" fillId="2" borderId="29" xfId="0" applyFont="1" applyFill="1" applyBorder="1" applyAlignment="1">
      <alignment horizontal="right" vertical="center" wrapText="1" indent="1"/>
    </xf>
    <xf numFmtId="0" fontId="0" fillId="0" borderId="28" xfId="0" applyBorder="1" applyAlignment="1">
      <alignment horizontal="center"/>
    </xf>
    <xf numFmtId="0" fontId="0" fillId="0" borderId="32" xfId="0" applyBorder="1" applyAlignment="1">
      <alignment horizontal="center"/>
    </xf>
    <xf numFmtId="0" fontId="2" fillId="2" borderId="15" xfId="0" applyFont="1" applyFill="1" applyBorder="1" applyAlignment="1">
      <alignment horizontal="center" vertical="center" textRotation="90" wrapText="1"/>
    </xf>
    <xf numFmtId="0" fontId="3" fillId="0" borderId="57" xfId="0" applyFont="1" applyBorder="1" applyAlignment="1">
      <alignment horizontal="left" vertical="center" indent="1"/>
    </xf>
    <xf numFmtId="0" fontId="5" fillId="0" borderId="57" xfId="0" applyFont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58" xfId="0" applyFont="1" applyFill="1" applyBorder="1" applyAlignment="1">
      <alignment horizontal="left" vertical="center" indent="1"/>
    </xf>
    <xf numFmtId="0" fontId="2" fillId="2" borderId="67" xfId="0" applyFont="1" applyFill="1" applyBorder="1" applyAlignment="1">
      <alignment horizontal="left" vertical="center" indent="1"/>
    </xf>
    <xf numFmtId="164" fontId="0" fillId="0" borderId="2" xfId="0" applyNumberFormat="1" applyBorder="1" applyAlignment="1">
      <alignment horizontal="center" vertical="center" wrapText="1"/>
    </xf>
    <xf numFmtId="164" fontId="0" fillId="0" borderId="28" xfId="0" applyNumberForma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indent="1"/>
    </xf>
    <xf numFmtId="0" fontId="2" fillId="2" borderId="74" xfId="0" applyFont="1" applyFill="1" applyBorder="1" applyAlignment="1">
      <alignment horizontal="left" vertical="center" indent="1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109" xfId="0" applyFont="1" applyFill="1" applyBorder="1" applyAlignment="1">
      <alignment horizontal="left" vertical="center" indent="1"/>
    </xf>
    <xf numFmtId="0" fontId="2" fillId="2" borderId="107" xfId="0" applyFont="1" applyFill="1" applyBorder="1" applyAlignment="1">
      <alignment horizontal="right" vertical="center" indent="1"/>
    </xf>
    <xf numFmtId="0" fontId="2" fillId="2" borderId="11" xfId="0" applyFont="1" applyFill="1" applyBorder="1" applyAlignment="1">
      <alignment horizontal="right" vertical="center" indent="1"/>
    </xf>
    <xf numFmtId="0" fontId="2" fillId="2" borderId="120" xfId="0" applyFont="1" applyFill="1" applyBorder="1" applyAlignment="1">
      <alignment horizontal="right" vertical="center" indent="1"/>
    </xf>
    <xf numFmtId="170" fontId="0" fillId="0" borderId="3" xfId="0" applyNumberFormat="1" applyBorder="1" applyAlignment="1">
      <alignment horizontal="center"/>
    </xf>
    <xf numFmtId="170" fontId="0" fillId="0" borderId="12" xfId="0" applyNumberFormat="1" applyBorder="1" applyAlignment="1">
      <alignment horizontal="center"/>
    </xf>
    <xf numFmtId="0" fontId="2" fillId="2" borderId="7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169" fontId="0" fillId="0" borderId="59" xfId="0" applyNumberFormat="1" applyBorder="1" applyAlignment="1">
      <alignment horizontal="center" vertical="center" wrapText="1"/>
    </xf>
    <xf numFmtId="169" fontId="0" fillId="0" borderId="60" xfId="0" applyNumberFormat="1" applyBorder="1" applyAlignment="1">
      <alignment horizontal="center" vertical="center" wrapText="1"/>
    </xf>
    <xf numFmtId="0" fontId="2" fillId="2" borderId="108" xfId="0" applyFont="1" applyFill="1" applyBorder="1" applyAlignment="1">
      <alignment horizontal="right" vertical="center" indent="1"/>
    </xf>
    <xf numFmtId="0" fontId="2" fillId="2" borderId="6" xfId="0" applyFont="1" applyFill="1" applyBorder="1" applyAlignment="1">
      <alignment horizontal="right" vertical="center" indent="1"/>
    </xf>
    <xf numFmtId="0" fontId="2" fillId="2" borderId="118" xfId="0" applyFont="1" applyFill="1" applyBorder="1" applyAlignment="1">
      <alignment horizontal="right" vertical="center" inden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98" xfId="0" applyFont="1" applyFill="1" applyBorder="1" applyAlignment="1">
      <alignment horizontal="center" vertical="center" wrapText="1"/>
    </xf>
    <xf numFmtId="170" fontId="0" fillId="0" borderId="1" xfId="0" applyNumberFormat="1" applyBorder="1" applyAlignment="1">
      <alignment horizontal="center"/>
    </xf>
    <xf numFmtId="169" fontId="0" fillId="0" borderId="1" xfId="0" applyNumberFormat="1" applyBorder="1" applyAlignment="1">
      <alignment horizontal="center" vertical="center" wrapText="1"/>
    </xf>
    <xf numFmtId="0" fontId="2" fillId="2" borderId="113" xfId="0" applyFont="1" applyFill="1" applyBorder="1" applyAlignment="1">
      <alignment horizontal="right" vertical="center" indent="1"/>
    </xf>
    <xf numFmtId="0" fontId="2" fillId="2" borderId="7" xfId="0" applyFont="1" applyFill="1" applyBorder="1" applyAlignment="1">
      <alignment horizontal="right" vertical="center" indent="1"/>
    </xf>
    <xf numFmtId="0" fontId="2" fillId="2" borderId="8" xfId="0" applyFont="1" applyFill="1" applyBorder="1" applyAlignment="1">
      <alignment horizontal="right" vertical="center" indent="1"/>
    </xf>
    <xf numFmtId="0" fontId="2" fillId="2" borderId="4" xfId="0" applyFont="1" applyFill="1" applyBorder="1" applyAlignment="1">
      <alignment horizontal="right" vertical="center" indent="1"/>
    </xf>
    <xf numFmtId="0" fontId="2" fillId="2" borderId="74" xfId="0" applyFont="1" applyFill="1" applyBorder="1" applyAlignment="1">
      <alignment horizontal="right" vertical="center" indent="1"/>
    </xf>
    <xf numFmtId="0" fontId="0" fillId="0" borderId="43" xfId="0" applyBorder="1" applyAlignment="1">
      <alignment horizontal="left" vertical="center" indent="1"/>
    </xf>
    <xf numFmtId="0" fontId="0" fillId="0" borderId="88" xfId="0" applyBorder="1" applyAlignment="1">
      <alignment horizontal="left" vertical="center" indent="1"/>
    </xf>
    <xf numFmtId="0" fontId="0" fillId="0" borderId="60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1" fillId="2" borderId="12" xfId="0" applyFont="1" applyFill="1" applyBorder="1" applyAlignment="1">
      <alignment horizontal="center" vertical="center"/>
    </xf>
    <xf numFmtId="0" fontId="1" fillId="2" borderId="9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21" xfId="0" applyFont="1" applyFill="1" applyBorder="1" applyAlignment="1">
      <alignment horizontal="left" vertical="center" wrapText="1" indent="1"/>
    </xf>
    <xf numFmtId="0" fontId="2" fillId="2" borderId="76" xfId="0" applyFont="1" applyFill="1" applyBorder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indent="1"/>
    </xf>
    <xf numFmtId="0" fontId="2" fillId="2" borderId="4" xfId="0" applyFont="1" applyFill="1" applyBorder="1" applyAlignment="1">
      <alignment horizontal="left" indent="1"/>
    </xf>
    <xf numFmtId="0" fontId="2" fillId="2" borderId="10" xfId="0" applyFont="1" applyFill="1" applyBorder="1" applyAlignment="1">
      <alignment horizontal="left" indent="1"/>
    </xf>
    <xf numFmtId="0" fontId="2" fillId="2" borderId="11" xfId="0" applyFont="1" applyFill="1" applyBorder="1" applyAlignment="1">
      <alignment horizontal="left" inden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0" borderId="37" xfId="0" applyBorder="1" applyAlignment="1">
      <alignment horizontal="left" vertical="center" indent="1"/>
    </xf>
    <xf numFmtId="0" fontId="0" fillId="0" borderId="90" xfId="0" applyBorder="1" applyAlignment="1">
      <alignment horizontal="left" vertical="center" indent="1"/>
    </xf>
    <xf numFmtId="0" fontId="0" fillId="2" borderId="12" xfId="0" applyFill="1" applyBorder="1" applyAlignment="1">
      <alignment horizontal="center"/>
    </xf>
    <xf numFmtId="170" fontId="0" fillId="0" borderId="3" xfId="0" applyNumberFormat="1" applyBorder="1" applyAlignment="1">
      <alignment horizontal="center" vertical="center"/>
    </xf>
    <xf numFmtId="170" fontId="0" fillId="0" borderId="12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 indent="1"/>
    </xf>
    <xf numFmtId="0" fontId="0" fillId="0" borderId="16" xfId="0" applyBorder="1" applyAlignment="1">
      <alignment horizontal="left" vertical="center" wrapText="1" indent="1"/>
    </xf>
    <xf numFmtId="0" fontId="0" fillId="0" borderId="16" xfId="0" applyBorder="1" applyAlignment="1">
      <alignment horizontal="left" vertical="center" indent="1"/>
    </xf>
    <xf numFmtId="166" fontId="0" fillId="0" borderId="43" xfId="0" applyNumberFormat="1" applyBorder="1" applyAlignment="1">
      <alignment horizontal="center" vertical="center"/>
    </xf>
    <xf numFmtId="166" fontId="0" fillId="0" borderId="60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72" fontId="0" fillId="0" borderId="3" xfId="0" applyNumberFormat="1" applyBorder="1" applyAlignment="1">
      <alignment horizontal="center" vertical="center"/>
    </xf>
    <xf numFmtId="172" fontId="0" fillId="0" borderId="1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2" fillId="2" borderId="42" xfId="0" applyFont="1" applyFill="1" applyBorder="1" applyAlignment="1">
      <alignment horizontal="right" vertical="center" indent="1"/>
    </xf>
    <xf numFmtId="0" fontId="2" fillId="2" borderId="36" xfId="0" applyFont="1" applyFill="1" applyBorder="1" applyAlignment="1">
      <alignment horizontal="right" vertical="center" indent="1"/>
    </xf>
    <xf numFmtId="0" fontId="2" fillId="2" borderId="68" xfId="0" applyFont="1" applyFill="1" applyBorder="1" applyAlignment="1">
      <alignment horizontal="right" vertical="center" indent="1"/>
    </xf>
    <xf numFmtId="0" fontId="2" fillId="2" borderId="89" xfId="0" applyFont="1" applyFill="1" applyBorder="1" applyAlignment="1">
      <alignment horizontal="right" vertical="center" indent="1"/>
    </xf>
    <xf numFmtId="0" fontId="0" fillId="0" borderId="4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6" fontId="0" fillId="0" borderId="27" xfId="0" applyNumberFormat="1" applyBorder="1" applyAlignment="1">
      <alignment horizontal="center" vertical="center" wrapText="1"/>
    </xf>
    <xf numFmtId="166" fontId="0" fillId="0" borderId="37" xfId="0" applyNumberFormat="1" applyBorder="1" applyAlignment="1">
      <alignment horizontal="center" vertical="center" wrapText="1"/>
    </xf>
    <xf numFmtId="166" fontId="0" fillId="0" borderId="43" xfId="0" applyNumberForma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2" borderId="21" xfId="0" applyFill="1" applyBorder="1" applyAlignment="1">
      <alignment horizontal="center"/>
    </xf>
    <xf numFmtId="0" fontId="2" fillId="2" borderId="9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indent="1"/>
    </xf>
    <xf numFmtId="0" fontId="2" fillId="2" borderId="71" xfId="0" applyFont="1" applyFill="1" applyBorder="1" applyAlignment="1">
      <alignment horizontal="right" vertical="center" wrapText="1" indent="1"/>
    </xf>
    <xf numFmtId="0" fontId="2" fillId="2" borderId="58" xfId="0" applyFont="1" applyFill="1" applyBorder="1" applyAlignment="1">
      <alignment horizontal="right" vertical="center" wrapText="1" indent="1"/>
    </xf>
    <xf numFmtId="0" fontId="2" fillId="2" borderId="26" xfId="0" applyFont="1" applyFill="1" applyBorder="1" applyAlignment="1">
      <alignment horizontal="right" vertical="center" wrapText="1" indent="1"/>
    </xf>
    <xf numFmtId="0" fontId="2" fillId="2" borderId="0" xfId="0" applyFont="1" applyFill="1" applyAlignment="1">
      <alignment horizontal="right" vertical="center" wrapText="1" indent="1"/>
    </xf>
    <xf numFmtId="0" fontId="2" fillId="2" borderId="70" xfId="0" applyFont="1" applyFill="1" applyBorder="1" applyAlignment="1">
      <alignment horizontal="right" vertical="center" wrapText="1" indent="1"/>
    </xf>
    <xf numFmtId="0" fontId="2" fillId="2" borderId="36" xfId="0" applyFont="1" applyFill="1" applyBorder="1" applyAlignment="1">
      <alignment horizontal="right" vertical="center" wrapText="1" indent="1"/>
    </xf>
    <xf numFmtId="0" fontId="2" fillId="2" borderId="95" xfId="0" applyFont="1" applyFill="1" applyBorder="1" applyAlignment="1">
      <alignment horizontal="right" vertical="center" wrapText="1" indent="1"/>
    </xf>
    <xf numFmtId="0" fontId="2" fillId="2" borderId="42" xfId="0" applyFont="1" applyFill="1" applyBorder="1" applyAlignment="1">
      <alignment horizontal="right" vertical="center" wrapText="1" indent="1"/>
    </xf>
    <xf numFmtId="0" fontId="2" fillId="2" borderId="89" xfId="0" applyFont="1" applyFill="1" applyBorder="1" applyAlignment="1">
      <alignment horizontal="right" vertical="center" wrapText="1" indent="1"/>
    </xf>
    <xf numFmtId="0" fontId="0" fillId="0" borderId="33" xfId="0" applyBorder="1" applyAlignment="1">
      <alignment horizontal="left" vertical="center" indent="1"/>
    </xf>
    <xf numFmtId="0" fontId="0" fillId="0" borderId="1" xfId="0" applyBorder="1" applyAlignment="1">
      <alignment horizontal="center" vertical="center" wrapText="1"/>
    </xf>
    <xf numFmtId="166" fontId="0" fillId="0" borderId="16" xfId="0" applyNumberFormat="1" applyBorder="1" applyAlignment="1">
      <alignment horizontal="center" vertical="center" wrapText="1"/>
    </xf>
    <xf numFmtId="166" fontId="0" fillId="0" borderId="59" xfId="0" applyNumberFormat="1" applyBorder="1" applyAlignment="1">
      <alignment horizontal="center" vertical="center" wrapText="1"/>
    </xf>
    <xf numFmtId="166" fontId="0" fillId="0" borderId="60" xfId="0" applyNumberFormat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right" vertical="center" wrapText="1" indent="1"/>
    </xf>
    <xf numFmtId="0" fontId="2" fillId="2" borderId="37" xfId="0" applyFont="1" applyFill="1" applyBorder="1" applyAlignment="1">
      <alignment horizontal="right" vertical="center" wrapText="1" indent="1"/>
    </xf>
    <xf numFmtId="0" fontId="2" fillId="2" borderId="113" xfId="0" applyFont="1" applyFill="1" applyBorder="1" applyAlignment="1">
      <alignment horizontal="left" vertical="center" indent="1"/>
    </xf>
    <xf numFmtId="0" fontId="2" fillId="2" borderId="119" xfId="0" applyFont="1" applyFill="1" applyBorder="1" applyAlignment="1">
      <alignment horizontal="right" vertical="center" indent="1"/>
    </xf>
    <xf numFmtId="0" fontId="2" fillId="2" borderId="117" xfId="0" applyFont="1" applyFill="1" applyBorder="1" applyAlignment="1">
      <alignment horizontal="right" vertical="center" indent="1"/>
    </xf>
    <xf numFmtId="0" fontId="2" fillId="2" borderId="10" xfId="0" applyFont="1" applyFill="1" applyBorder="1" applyAlignment="1">
      <alignment horizontal="right" vertical="center" indent="1"/>
    </xf>
    <xf numFmtId="0" fontId="2" fillId="2" borderId="109" xfId="0" applyFont="1" applyFill="1" applyBorder="1" applyAlignment="1">
      <alignment horizontal="right" vertical="center" indent="1"/>
    </xf>
    <xf numFmtId="0" fontId="2" fillId="2" borderId="7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right" vertical="center" indent="1"/>
    </xf>
    <xf numFmtId="0" fontId="0" fillId="0" borderId="60" xfId="0" applyBorder="1" applyAlignment="1">
      <alignment horizontal="center"/>
    </xf>
    <xf numFmtId="0" fontId="2" fillId="2" borderId="15" xfId="0" applyFont="1" applyFill="1" applyBorder="1" applyAlignment="1">
      <alignment horizontal="right" vertical="center" indent="1"/>
    </xf>
    <xf numFmtId="0" fontId="2" fillId="2" borderId="70" xfId="0" applyFont="1" applyFill="1" applyBorder="1" applyAlignment="1">
      <alignment horizontal="right" vertical="center" indent="1"/>
    </xf>
    <xf numFmtId="0" fontId="0" fillId="0" borderId="60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1" fillId="2" borderId="20" xfId="0" applyFont="1" applyFill="1" applyBorder="1" applyAlignment="1">
      <alignment horizontal="center" vertical="center"/>
    </xf>
    <xf numFmtId="0" fontId="6" fillId="0" borderId="0" xfId="0" applyFont="1" applyAlignment="1">
      <alignment horizontal="left" indent="1"/>
    </xf>
    <xf numFmtId="0" fontId="0" fillId="0" borderId="1" xfId="0" applyBorder="1" applyAlignment="1">
      <alignment horizontal="left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2" xfId="0" applyBorder="1" applyAlignment="1">
      <alignment horizontal="center"/>
    </xf>
    <xf numFmtId="0" fontId="2" fillId="2" borderId="97" xfId="0" applyFont="1" applyFill="1" applyBorder="1" applyAlignment="1">
      <alignment horizontal="center" vertical="center" wrapText="1"/>
    </xf>
    <xf numFmtId="0" fontId="2" fillId="2" borderId="100" xfId="0" applyFont="1" applyFill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5" fillId="0" borderId="101" xfId="0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0" fillId="0" borderId="81" xfId="0" applyBorder="1" applyAlignment="1">
      <alignment horizontal="center"/>
    </xf>
    <xf numFmtId="0" fontId="0" fillId="0" borderId="85" xfId="0" applyBorder="1" applyAlignment="1">
      <alignment horizontal="center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0" fillId="3" borderId="60" xfId="0" applyFill="1" applyBorder="1" applyAlignment="1">
      <alignment horizontal="left"/>
    </xf>
    <xf numFmtId="0" fontId="38" fillId="0" borderId="0" xfId="0" applyFont="1"/>
    <xf numFmtId="0" fontId="39" fillId="0" borderId="0" xfId="0" applyFont="1"/>
    <xf numFmtId="14" fontId="38" fillId="0" borderId="0" xfId="0" applyNumberFormat="1" applyFont="1"/>
    <xf numFmtId="0" fontId="38" fillId="0" borderId="0" xfId="0" applyFont="1"/>
  </cellXfs>
  <cellStyles count="1">
    <cellStyle name="Normal" xfId="0" builtinId="0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darkGrid">
          <bgColor theme="0"/>
        </patternFill>
      </fill>
    </dxf>
    <dxf>
      <font>
        <color theme="1"/>
      </font>
      <fill>
        <patternFill patternType="darkGrid">
          <bgColor theme="0"/>
        </patternFill>
      </fill>
    </dxf>
    <dxf>
      <font>
        <color theme="1"/>
      </font>
      <fill>
        <patternFill patternType="darkGrid"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darkGr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>
                <a:solidFill>
                  <a:srgbClr val="00206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Resultados</a:t>
            </a:r>
            <a:r>
              <a:rPr lang="en-US" sz="1800" b="1" i="0" baseline="0">
                <a:solidFill>
                  <a:srgbClr val="00206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la</a:t>
            </a:r>
            <a:r>
              <a:rPr lang="en-US" sz="1800" b="1" i="0">
                <a:solidFill>
                  <a:srgbClr val="00206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calibración</a:t>
            </a:r>
          </a:p>
        </c:rich>
      </c:tx>
      <c:layout>
        <c:manualLayout>
          <c:xMode val="edge"/>
          <c:yMode val="edge"/>
          <c:x val="1.9170283649137421E-2"/>
          <c:y val="1.9917007242262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chemeClr val="bg1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B1E7AF2D-DC70-499D-9013-0FAC6D6A610E}" type="CELLRANGE">
                      <a:rPr lang="en-US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DD3-4BC1-8AA1-7D3D278CBA2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91C6100-C768-4A6E-A205-2506E96475F6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ADD3-4BC1-8AA1-7D3D278CBA2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3E69485-A1B7-413C-99AA-7352613A098B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DD3-4BC1-8AA1-7D3D278CBA2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D5E8F0E-3982-4352-8F63-05FF8A5EC649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DD3-4BC1-8AA1-7D3D278CBA2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C4A2BA7-B24B-40BD-B846-2CAD7A940474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DD3-4BC1-8AA1-7D3D278CBA2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40EA30E-0EBE-4A53-8A4E-36B5D7C63F0B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DD3-4BC1-8AA1-7D3D278CBA2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8024A30-4568-4F90-9247-04EC077B0B5D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DD3-4BC1-8AA1-7D3D278CBA2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ACCED13-BA82-4ADD-86AD-00308BF2ADF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DD3-4BC1-8AA1-7D3D278CBA2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5B37682-C426-4A3A-B767-581D4242B0C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DD3-4BC1-8AA1-7D3D278CBA2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41F0551-C066-4CED-8E6B-507A542BCF33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DD3-4BC1-8AA1-7D3D278CBA2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'Toma de datos'!$F$92:$F$101</c:f>
                <c:numCache>
                  <c:formatCode>General</c:formatCode>
                  <c:ptCount val="10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</c:numCache>
              </c:numRef>
            </c:plus>
            <c:minus>
              <c:numRef>
                <c:f>'Toma de datos'!$F$92:$F$101</c:f>
                <c:numCache>
                  <c:formatCode>General</c:formatCode>
                  <c:ptCount val="10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002060"/>
                </a:solidFill>
                <a:round/>
              </a:ln>
              <a:effectLst/>
            </c:spPr>
          </c:errBars>
          <c:xVal>
            <c:numRef>
              <c:f>'Toma de datos'!$D$111:$D$120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datos'!$E$111:$E$120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'Toma de datos'!$C$111:$C$120</c15:f>
                <c15:dlblRangeCache>
                  <c:ptCount val="10"/>
                </c15:dlblRangeCache>
              </c15:datalabelsRange>
            </c:ext>
            <c:ext xmlns:c16="http://schemas.microsoft.com/office/drawing/2014/chart" uri="{C3380CC4-5D6E-409C-BE32-E72D297353CC}">
              <c16:uniqueId val="{00000000-A7B4-41AC-92C3-327CF341A962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496844048"/>
        <c:axId val="496847000"/>
      </c:scatterChart>
      <c:valAx>
        <c:axId val="496844048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accent3"/>
              </a:solidFill>
              <a:prstDash val="solid"/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rgbClr val="002060"/>
                    </a:solidFill>
                  </a:rPr>
                  <a:t>Indicación promedio del IBC, [en unidades</a:t>
                </a:r>
                <a:r>
                  <a:rPr lang="en-US" sz="1200" baseline="0">
                    <a:solidFill>
                      <a:srgbClr val="002060"/>
                    </a:solidFill>
                  </a:rPr>
                  <a:t> del cliente]</a:t>
                </a:r>
                <a:endParaRPr lang="en-US" sz="1200">
                  <a:solidFill>
                    <a:srgbClr val="002060"/>
                  </a:solidFill>
                </a:endParaRPr>
              </a:p>
            </c:rich>
          </c:tx>
          <c:layout>
            <c:manualLayout>
              <c:xMode val="edge"/>
              <c:yMode val="edge"/>
              <c:x val="0.32188236714304502"/>
              <c:y val="0.105392333677306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0"/>
        <c:majorTickMark val="out"/>
        <c:minorTickMark val="cross"/>
        <c:tickLblPos val="high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6847000"/>
        <c:crosses val="max"/>
        <c:crossBetween val="midCat"/>
      </c:valAx>
      <c:valAx>
        <c:axId val="49684700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prstDash val="solid"/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prstDash val="solid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rgbClr val="002060"/>
                    </a:solidFill>
                  </a:rPr>
                  <a:t>Corrección</a:t>
                </a:r>
                <a:r>
                  <a:rPr lang="en-US" sz="1200" baseline="0">
                    <a:solidFill>
                      <a:srgbClr val="002060"/>
                    </a:solidFill>
                  </a:rPr>
                  <a:t> a la indicación, </a:t>
                </a:r>
              </a:p>
              <a:p>
                <a:pPr>
                  <a:defRPr sz="1200">
                    <a:solidFill>
                      <a:srgbClr val="002060"/>
                    </a:solidFill>
                  </a:defRPr>
                </a:pPr>
                <a:r>
                  <a:rPr lang="en-US" sz="1200" baseline="0">
                    <a:solidFill>
                      <a:srgbClr val="002060"/>
                    </a:solidFill>
                  </a:rPr>
                  <a:t>[en unidades del cliente]</a:t>
                </a:r>
              </a:p>
            </c:rich>
          </c:tx>
          <c:layout>
            <c:manualLayout>
              <c:xMode val="edge"/>
              <c:yMode val="edge"/>
              <c:x val="6.5854454810154572E-3"/>
              <c:y val="0.260671787739959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cross"/>
        <c:tickLblPos val="low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6844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 b="1" i="0">
                <a:solidFill>
                  <a:srgbClr val="002060"/>
                </a:solidFill>
              </a:rPr>
              <a:t>Curva</a:t>
            </a:r>
            <a:r>
              <a:rPr lang="en-US" b="1" i="0" baseline="0">
                <a:solidFill>
                  <a:srgbClr val="002060"/>
                </a:solidFill>
              </a:rPr>
              <a:t> de r</a:t>
            </a:r>
            <a:r>
              <a:rPr lang="en-US" b="1" i="0">
                <a:solidFill>
                  <a:srgbClr val="002060"/>
                </a:solidFill>
              </a:rPr>
              <a:t>egresión</a:t>
            </a:r>
            <a:r>
              <a:rPr lang="en-US" b="1" i="0" baseline="0">
                <a:solidFill>
                  <a:srgbClr val="002060"/>
                </a:solidFill>
              </a:rPr>
              <a:t> de los resultados de calibración P004-2 (h.rel)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Corrección!$E$732:$E$832</c:f>
              <c:numCache>
                <c:formatCode>0.0000</c:formatCode>
                <c:ptCount val="101"/>
                <c:pt idx="0">
                  <c:v>39.799999999999997</c:v>
                </c:pt>
                <c:pt idx="1">
                  <c:v>40.153999999999996</c:v>
                </c:pt>
                <c:pt idx="2">
                  <c:v>40.507999999999996</c:v>
                </c:pt>
                <c:pt idx="3">
                  <c:v>40.861999999999995</c:v>
                </c:pt>
                <c:pt idx="4">
                  <c:v>41.215999999999994</c:v>
                </c:pt>
                <c:pt idx="5">
                  <c:v>41.569999999999993</c:v>
                </c:pt>
                <c:pt idx="6">
                  <c:v>41.923999999999992</c:v>
                </c:pt>
                <c:pt idx="7">
                  <c:v>42.277999999999992</c:v>
                </c:pt>
                <c:pt idx="8">
                  <c:v>42.631999999999991</c:v>
                </c:pt>
                <c:pt idx="9">
                  <c:v>42.98599999999999</c:v>
                </c:pt>
                <c:pt idx="10">
                  <c:v>43.339999999999989</c:v>
                </c:pt>
                <c:pt idx="11">
                  <c:v>43.693999999999988</c:v>
                </c:pt>
                <c:pt idx="12">
                  <c:v>44.047999999999988</c:v>
                </c:pt>
                <c:pt idx="13">
                  <c:v>44.401999999999987</c:v>
                </c:pt>
                <c:pt idx="14">
                  <c:v>44.755999999999986</c:v>
                </c:pt>
                <c:pt idx="15">
                  <c:v>45.109999999999985</c:v>
                </c:pt>
                <c:pt idx="16">
                  <c:v>45.463999999999984</c:v>
                </c:pt>
                <c:pt idx="17">
                  <c:v>45.817999999999984</c:v>
                </c:pt>
                <c:pt idx="18">
                  <c:v>46.171999999999983</c:v>
                </c:pt>
                <c:pt idx="19">
                  <c:v>46.525999999999982</c:v>
                </c:pt>
                <c:pt idx="20">
                  <c:v>46.879999999999981</c:v>
                </c:pt>
                <c:pt idx="21">
                  <c:v>47.23399999999998</c:v>
                </c:pt>
                <c:pt idx="22">
                  <c:v>47.58799999999998</c:v>
                </c:pt>
                <c:pt idx="23">
                  <c:v>47.941999999999979</c:v>
                </c:pt>
                <c:pt idx="24">
                  <c:v>48.295999999999978</c:v>
                </c:pt>
                <c:pt idx="25">
                  <c:v>48.649999999999977</c:v>
                </c:pt>
                <c:pt idx="26">
                  <c:v>49.003999999999976</c:v>
                </c:pt>
                <c:pt idx="27">
                  <c:v>49.357999999999976</c:v>
                </c:pt>
                <c:pt idx="28">
                  <c:v>49.711999999999975</c:v>
                </c:pt>
                <c:pt idx="29">
                  <c:v>50.065999999999974</c:v>
                </c:pt>
                <c:pt idx="30">
                  <c:v>50.419999999999973</c:v>
                </c:pt>
                <c:pt idx="31">
                  <c:v>50.773999999999972</c:v>
                </c:pt>
                <c:pt idx="32">
                  <c:v>51.127999999999972</c:v>
                </c:pt>
                <c:pt idx="33">
                  <c:v>51.481999999999971</c:v>
                </c:pt>
                <c:pt idx="34">
                  <c:v>51.83599999999997</c:v>
                </c:pt>
                <c:pt idx="35">
                  <c:v>52.189999999999969</c:v>
                </c:pt>
                <c:pt idx="36">
                  <c:v>52.543999999999969</c:v>
                </c:pt>
                <c:pt idx="37">
                  <c:v>52.897999999999968</c:v>
                </c:pt>
                <c:pt idx="38">
                  <c:v>53.251999999999967</c:v>
                </c:pt>
                <c:pt idx="39">
                  <c:v>53.605999999999966</c:v>
                </c:pt>
                <c:pt idx="40">
                  <c:v>53.959999999999965</c:v>
                </c:pt>
                <c:pt idx="41">
                  <c:v>54.313999999999965</c:v>
                </c:pt>
                <c:pt idx="42">
                  <c:v>54.667999999999964</c:v>
                </c:pt>
                <c:pt idx="43">
                  <c:v>55.021999999999963</c:v>
                </c:pt>
                <c:pt idx="44">
                  <c:v>55.375999999999962</c:v>
                </c:pt>
                <c:pt idx="45">
                  <c:v>55.729999999999961</c:v>
                </c:pt>
                <c:pt idx="46">
                  <c:v>56.083999999999961</c:v>
                </c:pt>
                <c:pt idx="47">
                  <c:v>56.43799999999996</c:v>
                </c:pt>
                <c:pt idx="48">
                  <c:v>56.791999999999959</c:v>
                </c:pt>
                <c:pt idx="49">
                  <c:v>57.145999999999958</c:v>
                </c:pt>
                <c:pt idx="50">
                  <c:v>57.499999999999957</c:v>
                </c:pt>
                <c:pt idx="51">
                  <c:v>57.853999999999957</c:v>
                </c:pt>
                <c:pt idx="52">
                  <c:v>58.207999999999956</c:v>
                </c:pt>
                <c:pt idx="53">
                  <c:v>58.561999999999955</c:v>
                </c:pt>
                <c:pt idx="54">
                  <c:v>58.915999999999954</c:v>
                </c:pt>
                <c:pt idx="55">
                  <c:v>59.269999999999953</c:v>
                </c:pt>
                <c:pt idx="56">
                  <c:v>59.623999999999953</c:v>
                </c:pt>
                <c:pt idx="57">
                  <c:v>59.977999999999952</c:v>
                </c:pt>
                <c:pt idx="58">
                  <c:v>60.331999999999951</c:v>
                </c:pt>
                <c:pt idx="59">
                  <c:v>60.68599999999995</c:v>
                </c:pt>
                <c:pt idx="60">
                  <c:v>61.039999999999949</c:v>
                </c:pt>
                <c:pt idx="61">
                  <c:v>61.393999999999949</c:v>
                </c:pt>
                <c:pt idx="62">
                  <c:v>61.747999999999948</c:v>
                </c:pt>
                <c:pt idx="63">
                  <c:v>62.101999999999947</c:v>
                </c:pt>
                <c:pt idx="64">
                  <c:v>62.455999999999946</c:v>
                </c:pt>
                <c:pt idx="65">
                  <c:v>62.809999999999945</c:v>
                </c:pt>
                <c:pt idx="66">
                  <c:v>63.163999999999945</c:v>
                </c:pt>
                <c:pt idx="67">
                  <c:v>63.517999999999944</c:v>
                </c:pt>
                <c:pt idx="68">
                  <c:v>63.871999999999943</c:v>
                </c:pt>
                <c:pt idx="69">
                  <c:v>64.225999999999942</c:v>
                </c:pt>
                <c:pt idx="70">
                  <c:v>64.579999999999941</c:v>
                </c:pt>
                <c:pt idx="71">
                  <c:v>64.933999999999941</c:v>
                </c:pt>
                <c:pt idx="72">
                  <c:v>65.28799999999994</c:v>
                </c:pt>
                <c:pt idx="73">
                  <c:v>65.641999999999939</c:v>
                </c:pt>
                <c:pt idx="74">
                  <c:v>65.995999999999938</c:v>
                </c:pt>
                <c:pt idx="75">
                  <c:v>66.349999999999937</c:v>
                </c:pt>
                <c:pt idx="76">
                  <c:v>66.703999999999937</c:v>
                </c:pt>
                <c:pt idx="77">
                  <c:v>67.057999999999936</c:v>
                </c:pt>
                <c:pt idx="78">
                  <c:v>67.411999999999935</c:v>
                </c:pt>
                <c:pt idx="79">
                  <c:v>67.765999999999934</c:v>
                </c:pt>
                <c:pt idx="80">
                  <c:v>68.119999999999933</c:v>
                </c:pt>
                <c:pt idx="81">
                  <c:v>68.473999999999933</c:v>
                </c:pt>
                <c:pt idx="82">
                  <c:v>68.827999999999932</c:v>
                </c:pt>
                <c:pt idx="83">
                  <c:v>69.181999999999931</c:v>
                </c:pt>
                <c:pt idx="84">
                  <c:v>69.53599999999993</c:v>
                </c:pt>
                <c:pt idx="85">
                  <c:v>69.88999999999993</c:v>
                </c:pt>
                <c:pt idx="86">
                  <c:v>70.243999999999929</c:v>
                </c:pt>
                <c:pt idx="87">
                  <c:v>70.597999999999928</c:v>
                </c:pt>
                <c:pt idx="88">
                  <c:v>70.951999999999927</c:v>
                </c:pt>
                <c:pt idx="89">
                  <c:v>71.305999999999926</c:v>
                </c:pt>
                <c:pt idx="90">
                  <c:v>71.659999999999926</c:v>
                </c:pt>
                <c:pt idx="91">
                  <c:v>72.013999999999925</c:v>
                </c:pt>
                <c:pt idx="92">
                  <c:v>72.367999999999924</c:v>
                </c:pt>
                <c:pt idx="93">
                  <c:v>72.721999999999923</c:v>
                </c:pt>
                <c:pt idx="94">
                  <c:v>73.075999999999922</c:v>
                </c:pt>
                <c:pt idx="95">
                  <c:v>73.429999999999922</c:v>
                </c:pt>
                <c:pt idx="96">
                  <c:v>73.783999999999921</c:v>
                </c:pt>
                <c:pt idx="97">
                  <c:v>74.13799999999992</c:v>
                </c:pt>
                <c:pt idx="98">
                  <c:v>74.491999999999919</c:v>
                </c:pt>
                <c:pt idx="99">
                  <c:v>74.845999999999918</c:v>
                </c:pt>
                <c:pt idx="100">
                  <c:v>75.199999999999918</c:v>
                </c:pt>
              </c:numCache>
            </c:numRef>
          </c:xVal>
          <c:yVal>
            <c:numRef>
              <c:f>Corrección!$F$732:$F$832</c:f>
              <c:numCache>
                <c:formatCode>0.0000</c:formatCode>
                <c:ptCount val="101"/>
                <c:pt idx="0">
                  <c:v>-10.104124889687514</c:v>
                </c:pt>
                <c:pt idx="1">
                  <c:v>-10.057412818577159</c:v>
                </c:pt>
                <c:pt idx="2">
                  <c:v>-10.010700747466803</c:v>
                </c:pt>
                <c:pt idx="3">
                  <c:v>-9.9639886763564487</c:v>
                </c:pt>
                <c:pt idx="4">
                  <c:v>-9.9172766052460943</c:v>
                </c:pt>
                <c:pt idx="5">
                  <c:v>-9.8705645341357382</c:v>
                </c:pt>
                <c:pt idx="6">
                  <c:v>-9.8238524630253838</c:v>
                </c:pt>
                <c:pt idx="7">
                  <c:v>-9.7771403919150295</c:v>
                </c:pt>
                <c:pt idx="8">
                  <c:v>-9.7304283208046733</c:v>
                </c:pt>
                <c:pt idx="9">
                  <c:v>-9.683716249694319</c:v>
                </c:pt>
                <c:pt idx="10">
                  <c:v>-9.6370041785839646</c:v>
                </c:pt>
                <c:pt idx="11">
                  <c:v>-9.5902921074736085</c:v>
                </c:pt>
                <c:pt idx="12">
                  <c:v>-9.5435800363632541</c:v>
                </c:pt>
                <c:pt idx="13">
                  <c:v>-9.4968679652528998</c:v>
                </c:pt>
                <c:pt idx="14">
                  <c:v>-9.4501558941425436</c:v>
                </c:pt>
                <c:pt idx="15">
                  <c:v>-9.4034438230321911</c:v>
                </c:pt>
                <c:pt idx="16">
                  <c:v>-9.3567317519218349</c:v>
                </c:pt>
                <c:pt idx="17">
                  <c:v>-9.3100196808114788</c:v>
                </c:pt>
                <c:pt idx="18">
                  <c:v>-9.2633076097011262</c:v>
                </c:pt>
                <c:pt idx="19">
                  <c:v>-9.2165955385907701</c:v>
                </c:pt>
                <c:pt idx="20">
                  <c:v>-9.1698834674804139</c:v>
                </c:pt>
                <c:pt idx="21">
                  <c:v>-9.1231713963700614</c:v>
                </c:pt>
                <c:pt idx="22">
                  <c:v>-9.0764593252597052</c:v>
                </c:pt>
                <c:pt idx="23">
                  <c:v>-9.0297472541493509</c:v>
                </c:pt>
                <c:pt idx="24">
                  <c:v>-8.9830351830389965</c:v>
                </c:pt>
                <c:pt idx="25">
                  <c:v>-8.9363231119286404</c:v>
                </c:pt>
                <c:pt idx="26">
                  <c:v>-8.889611040818286</c:v>
                </c:pt>
                <c:pt idx="27">
                  <c:v>-8.8428989697079317</c:v>
                </c:pt>
                <c:pt idx="28">
                  <c:v>-8.7961868985975755</c:v>
                </c:pt>
                <c:pt idx="29">
                  <c:v>-8.7494748274872212</c:v>
                </c:pt>
                <c:pt idx="30">
                  <c:v>-8.7027627563768668</c:v>
                </c:pt>
                <c:pt idx="31">
                  <c:v>-8.6560506852665107</c:v>
                </c:pt>
                <c:pt idx="32">
                  <c:v>-8.6093386141561563</c:v>
                </c:pt>
                <c:pt idx="33">
                  <c:v>-8.562626543045802</c:v>
                </c:pt>
                <c:pt idx="34">
                  <c:v>-8.5159144719354458</c:v>
                </c:pt>
                <c:pt idx="35">
                  <c:v>-8.4692024008250915</c:v>
                </c:pt>
                <c:pt idx="36">
                  <c:v>-8.4224903297147371</c:v>
                </c:pt>
                <c:pt idx="37">
                  <c:v>-8.375778258604381</c:v>
                </c:pt>
                <c:pt idx="38">
                  <c:v>-8.3290661874940266</c:v>
                </c:pt>
                <c:pt idx="39">
                  <c:v>-8.2823541163836722</c:v>
                </c:pt>
                <c:pt idx="40">
                  <c:v>-8.2356420452733161</c:v>
                </c:pt>
                <c:pt idx="41">
                  <c:v>-8.1889299741629618</c:v>
                </c:pt>
                <c:pt idx="42">
                  <c:v>-8.1422179030526074</c:v>
                </c:pt>
                <c:pt idx="43">
                  <c:v>-8.0955058319422513</c:v>
                </c:pt>
                <c:pt idx="44">
                  <c:v>-8.0487937608318969</c:v>
                </c:pt>
                <c:pt idx="45">
                  <c:v>-8.0020816897215425</c:v>
                </c:pt>
                <c:pt idx="46">
                  <c:v>-7.9553696186111873</c:v>
                </c:pt>
                <c:pt idx="47">
                  <c:v>-7.9086575475008321</c:v>
                </c:pt>
                <c:pt idx="48">
                  <c:v>-7.8619454763904777</c:v>
                </c:pt>
                <c:pt idx="49">
                  <c:v>-7.8152334052801224</c:v>
                </c:pt>
                <c:pt idx="50">
                  <c:v>-7.7685213341697681</c:v>
                </c:pt>
                <c:pt idx="51">
                  <c:v>-7.7218092630594128</c:v>
                </c:pt>
                <c:pt idx="52">
                  <c:v>-7.6750971919490576</c:v>
                </c:pt>
                <c:pt idx="53">
                  <c:v>-7.6283851208387032</c:v>
                </c:pt>
                <c:pt idx="54">
                  <c:v>-7.581673049728348</c:v>
                </c:pt>
                <c:pt idx="55">
                  <c:v>-7.5349609786179927</c:v>
                </c:pt>
                <c:pt idx="56">
                  <c:v>-7.4882489075076384</c:v>
                </c:pt>
                <c:pt idx="57">
                  <c:v>-7.4415368363972831</c:v>
                </c:pt>
                <c:pt idx="58">
                  <c:v>-7.3948247652869279</c:v>
                </c:pt>
                <c:pt idx="59">
                  <c:v>-7.3481126941765726</c:v>
                </c:pt>
                <c:pt idx="60">
                  <c:v>-7.3014006230662183</c:v>
                </c:pt>
                <c:pt idx="61">
                  <c:v>-7.2546885519558639</c:v>
                </c:pt>
                <c:pt idx="62">
                  <c:v>-7.2079764808455078</c:v>
                </c:pt>
                <c:pt idx="63">
                  <c:v>-7.1612644097351534</c:v>
                </c:pt>
                <c:pt idx="64">
                  <c:v>-7.1145523386247991</c:v>
                </c:pt>
                <c:pt idx="65">
                  <c:v>-7.0678402675144447</c:v>
                </c:pt>
                <c:pt idx="66">
                  <c:v>-7.0211281964040886</c:v>
                </c:pt>
                <c:pt idx="67">
                  <c:v>-6.9744161252937342</c:v>
                </c:pt>
                <c:pt idx="68">
                  <c:v>-6.9277040541833799</c:v>
                </c:pt>
                <c:pt idx="69">
                  <c:v>-6.8809919830730237</c:v>
                </c:pt>
                <c:pt idx="70">
                  <c:v>-6.8342799119626694</c:v>
                </c:pt>
                <c:pt idx="71">
                  <c:v>-6.787567840852315</c:v>
                </c:pt>
                <c:pt idx="72">
                  <c:v>-6.7408557697419589</c:v>
                </c:pt>
                <c:pt idx="73">
                  <c:v>-6.6941436986316045</c:v>
                </c:pt>
                <c:pt idx="74">
                  <c:v>-6.6474316275212502</c:v>
                </c:pt>
                <c:pt idx="75">
                  <c:v>-6.600719556410894</c:v>
                </c:pt>
                <c:pt idx="76">
                  <c:v>-6.5540074853005397</c:v>
                </c:pt>
                <c:pt idx="77">
                  <c:v>-6.5072954141901853</c:v>
                </c:pt>
                <c:pt idx="78">
                  <c:v>-6.4605833430798292</c:v>
                </c:pt>
                <c:pt idx="79">
                  <c:v>-6.4138712719694748</c:v>
                </c:pt>
                <c:pt idx="80">
                  <c:v>-6.3671592008591205</c:v>
                </c:pt>
                <c:pt idx="81">
                  <c:v>-6.3204471297487643</c:v>
                </c:pt>
                <c:pt idx="82">
                  <c:v>-6.27373505863841</c:v>
                </c:pt>
                <c:pt idx="83">
                  <c:v>-6.2270229875280556</c:v>
                </c:pt>
                <c:pt idx="84">
                  <c:v>-6.1803109164177013</c:v>
                </c:pt>
                <c:pt idx="85">
                  <c:v>-6.1335988453073451</c:v>
                </c:pt>
                <c:pt idx="86">
                  <c:v>-6.0868867741969908</c:v>
                </c:pt>
                <c:pt idx="87">
                  <c:v>-6.0401747030866364</c:v>
                </c:pt>
                <c:pt idx="88">
                  <c:v>-5.9934626319762803</c:v>
                </c:pt>
                <c:pt idx="89">
                  <c:v>-5.9467505608659259</c:v>
                </c:pt>
                <c:pt idx="90">
                  <c:v>-5.9000384897555715</c:v>
                </c:pt>
                <c:pt idx="91">
                  <c:v>-5.8533264186452154</c:v>
                </c:pt>
                <c:pt idx="92">
                  <c:v>-5.8066143475348611</c:v>
                </c:pt>
                <c:pt idx="93">
                  <c:v>-5.7599022764245067</c:v>
                </c:pt>
                <c:pt idx="94">
                  <c:v>-5.7131902053141506</c:v>
                </c:pt>
                <c:pt idx="95">
                  <c:v>-5.6664781342037962</c:v>
                </c:pt>
                <c:pt idx="96">
                  <c:v>-5.6197660630934418</c:v>
                </c:pt>
                <c:pt idx="97">
                  <c:v>-5.5730539919830857</c:v>
                </c:pt>
                <c:pt idx="98">
                  <c:v>-5.5263419208727314</c:v>
                </c:pt>
                <c:pt idx="99">
                  <c:v>-5.479629849762377</c:v>
                </c:pt>
                <c:pt idx="100">
                  <c:v>-5.4329177786520209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56-4CA0-8619-25AB70DC651E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Corrección!$L$414:$L$417</c:f>
                <c:numCache>
                  <c:formatCode>General</c:formatCode>
                  <c:ptCount val="4"/>
                  <c:pt idx="0">
                    <c:v>1.6</c:v>
                  </c:pt>
                  <c:pt idx="1">
                    <c:v>1.6</c:v>
                  </c:pt>
                  <c:pt idx="2">
                    <c:v>1.6</c:v>
                  </c:pt>
                </c:numCache>
              </c:numRef>
            </c:plus>
            <c:minus>
              <c:numRef>
                <c:f>Corrección!$L$414:$L$417</c:f>
                <c:numCache>
                  <c:formatCode>General</c:formatCode>
                  <c:ptCount val="4"/>
                  <c:pt idx="0">
                    <c:v>1.6</c:v>
                  </c:pt>
                  <c:pt idx="1">
                    <c:v>1.6</c:v>
                  </c:pt>
                  <c:pt idx="2">
                    <c:v>1.6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Corrección!$J$414:$J$417</c:f>
              <c:numCache>
                <c:formatCode>General</c:formatCode>
                <c:ptCount val="4"/>
                <c:pt idx="0">
                  <c:v>39.799999999999997</c:v>
                </c:pt>
                <c:pt idx="1">
                  <c:v>58.3</c:v>
                </c:pt>
                <c:pt idx="2">
                  <c:v>75.2</c:v>
                </c:pt>
              </c:numCache>
            </c:numRef>
          </c:xVal>
          <c:yVal>
            <c:numRef>
              <c:f>Corrección!$K$414:$K$417</c:f>
              <c:numCache>
                <c:formatCode>General</c:formatCode>
                <c:ptCount val="4"/>
                <c:pt idx="0">
                  <c:v>-9.8000000000000007</c:v>
                </c:pt>
                <c:pt idx="1">
                  <c:v>-8.3000000000000007</c:v>
                </c:pt>
                <c:pt idx="2">
                  <c:v>-5.0999999999999996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56-4CA0-8619-25AB70DC651E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xVal>
            <c:numRef>
              <c:f>Corrección!$L$429:$L$430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Corrección!$M$429:$M$430</c:f>
              <c:numCache>
                <c:formatCode>0.0000</c:formatCode>
                <c:ptCount val="2"/>
                <c:pt idx="0">
                  <c:v>-15.355934014524038</c:v>
                </c:pt>
                <c:pt idx="1">
                  <c:v>-15.355934014524038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F56-4CA0-8619-25AB70DC6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rgbClr val="002060"/>
                    </a:solidFill>
                  </a:rPr>
                  <a:t> [%hr]</a:t>
                </a: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Corrección a la indicación, [%hr]</a:t>
                </a:r>
              </a:p>
              <a:p>
                <a:pPr>
                  <a:defRPr sz="1100">
                    <a:solidFill>
                      <a:srgbClr val="002060"/>
                    </a:solidFill>
                  </a:defRPr>
                </a:pP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 i="0">
                <a:solidFill>
                  <a:srgbClr val="002060"/>
                </a:solidFill>
              </a:rPr>
              <a:t>Curva</a:t>
            </a:r>
            <a:r>
              <a:rPr lang="en-US" i="0" baseline="0">
                <a:solidFill>
                  <a:srgbClr val="002060"/>
                </a:solidFill>
              </a:rPr>
              <a:t> de r</a:t>
            </a:r>
            <a:r>
              <a:rPr lang="en-US" i="0">
                <a:solidFill>
                  <a:srgbClr val="002060"/>
                </a:solidFill>
              </a:rPr>
              <a:t>egresión</a:t>
            </a:r>
            <a:r>
              <a:rPr lang="en-US" i="0" baseline="0">
                <a:solidFill>
                  <a:srgbClr val="002060"/>
                </a:solidFill>
              </a:rPr>
              <a:t> de los resultados de calibración P004-6 (t.amb)</a:t>
            </a:r>
            <a:endParaRPr lang="en-US" i="0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Corrección!$O$732:$O$832</c:f>
              <c:numCache>
                <c:formatCode>0.0000</c:formatCode>
                <c:ptCount val="101"/>
                <c:pt idx="0">
                  <c:v>15.5</c:v>
                </c:pt>
                <c:pt idx="1">
                  <c:v>15.742000000000001</c:v>
                </c:pt>
                <c:pt idx="2">
                  <c:v>15.984000000000002</c:v>
                </c:pt>
                <c:pt idx="3">
                  <c:v>16.226000000000003</c:v>
                </c:pt>
                <c:pt idx="4">
                  <c:v>16.468000000000004</c:v>
                </c:pt>
                <c:pt idx="5">
                  <c:v>16.710000000000004</c:v>
                </c:pt>
                <c:pt idx="6">
                  <c:v>16.952000000000005</c:v>
                </c:pt>
                <c:pt idx="7">
                  <c:v>17.194000000000006</c:v>
                </c:pt>
                <c:pt idx="8">
                  <c:v>17.436000000000007</c:v>
                </c:pt>
                <c:pt idx="9">
                  <c:v>17.678000000000008</c:v>
                </c:pt>
                <c:pt idx="10">
                  <c:v>17.920000000000009</c:v>
                </c:pt>
                <c:pt idx="11">
                  <c:v>18.16200000000001</c:v>
                </c:pt>
                <c:pt idx="12">
                  <c:v>18.404000000000011</c:v>
                </c:pt>
                <c:pt idx="13">
                  <c:v>18.646000000000011</c:v>
                </c:pt>
                <c:pt idx="14">
                  <c:v>18.888000000000012</c:v>
                </c:pt>
                <c:pt idx="15">
                  <c:v>19.130000000000013</c:v>
                </c:pt>
                <c:pt idx="16">
                  <c:v>19.372000000000014</c:v>
                </c:pt>
                <c:pt idx="17">
                  <c:v>19.614000000000015</c:v>
                </c:pt>
                <c:pt idx="18">
                  <c:v>19.856000000000016</c:v>
                </c:pt>
                <c:pt idx="19">
                  <c:v>20.098000000000017</c:v>
                </c:pt>
                <c:pt idx="20">
                  <c:v>20.340000000000018</c:v>
                </c:pt>
                <c:pt idx="21">
                  <c:v>20.582000000000019</c:v>
                </c:pt>
                <c:pt idx="22">
                  <c:v>20.824000000000019</c:v>
                </c:pt>
                <c:pt idx="23">
                  <c:v>21.06600000000002</c:v>
                </c:pt>
                <c:pt idx="24">
                  <c:v>21.308000000000021</c:v>
                </c:pt>
                <c:pt idx="25">
                  <c:v>21.550000000000022</c:v>
                </c:pt>
                <c:pt idx="26">
                  <c:v>21.792000000000023</c:v>
                </c:pt>
                <c:pt idx="27">
                  <c:v>22.034000000000024</c:v>
                </c:pt>
                <c:pt idx="28">
                  <c:v>22.276000000000025</c:v>
                </c:pt>
                <c:pt idx="29">
                  <c:v>22.518000000000026</c:v>
                </c:pt>
                <c:pt idx="30">
                  <c:v>22.760000000000026</c:v>
                </c:pt>
                <c:pt idx="31">
                  <c:v>23.002000000000027</c:v>
                </c:pt>
                <c:pt idx="32">
                  <c:v>23.244000000000028</c:v>
                </c:pt>
                <c:pt idx="33">
                  <c:v>23.486000000000029</c:v>
                </c:pt>
                <c:pt idx="34">
                  <c:v>23.72800000000003</c:v>
                </c:pt>
                <c:pt idx="35">
                  <c:v>23.970000000000031</c:v>
                </c:pt>
                <c:pt idx="36">
                  <c:v>24.212000000000032</c:v>
                </c:pt>
                <c:pt idx="37">
                  <c:v>24.454000000000033</c:v>
                </c:pt>
                <c:pt idx="38">
                  <c:v>24.696000000000033</c:v>
                </c:pt>
                <c:pt idx="39">
                  <c:v>24.938000000000034</c:v>
                </c:pt>
                <c:pt idx="40">
                  <c:v>25.180000000000035</c:v>
                </c:pt>
                <c:pt idx="41">
                  <c:v>25.422000000000036</c:v>
                </c:pt>
                <c:pt idx="42">
                  <c:v>25.664000000000037</c:v>
                </c:pt>
                <c:pt idx="43">
                  <c:v>25.906000000000038</c:v>
                </c:pt>
                <c:pt idx="44">
                  <c:v>26.148000000000039</c:v>
                </c:pt>
                <c:pt idx="45">
                  <c:v>26.39000000000004</c:v>
                </c:pt>
                <c:pt idx="46">
                  <c:v>26.632000000000041</c:v>
                </c:pt>
                <c:pt idx="47">
                  <c:v>26.874000000000041</c:v>
                </c:pt>
                <c:pt idx="48">
                  <c:v>27.116000000000042</c:v>
                </c:pt>
                <c:pt idx="49">
                  <c:v>27.358000000000043</c:v>
                </c:pt>
                <c:pt idx="50">
                  <c:v>27.600000000000044</c:v>
                </c:pt>
                <c:pt idx="51">
                  <c:v>27.842000000000045</c:v>
                </c:pt>
                <c:pt idx="52">
                  <c:v>28.084000000000046</c:v>
                </c:pt>
                <c:pt idx="53">
                  <c:v>28.326000000000047</c:v>
                </c:pt>
                <c:pt idx="54">
                  <c:v>28.568000000000048</c:v>
                </c:pt>
                <c:pt idx="55">
                  <c:v>28.810000000000048</c:v>
                </c:pt>
                <c:pt idx="56">
                  <c:v>29.052000000000049</c:v>
                </c:pt>
                <c:pt idx="57">
                  <c:v>29.29400000000005</c:v>
                </c:pt>
                <c:pt idx="58">
                  <c:v>29.536000000000051</c:v>
                </c:pt>
                <c:pt idx="59">
                  <c:v>29.778000000000052</c:v>
                </c:pt>
                <c:pt idx="60">
                  <c:v>30.020000000000053</c:v>
                </c:pt>
                <c:pt idx="61">
                  <c:v>30.262000000000054</c:v>
                </c:pt>
                <c:pt idx="62">
                  <c:v>30.504000000000055</c:v>
                </c:pt>
                <c:pt idx="63">
                  <c:v>30.746000000000056</c:v>
                </c:pt>
                <c:pt idx="64">
                  <c:v>30.988000000000056</c:v>
                </c:pt>
                <c:pt idx="65">
                  <c:v>31.230000000000057</c:v>
                </c:pt>
                <c:pt idx="66">
                  <c:v>31.472000000000058</c:v>
                </c:pt>
                <c:pt idx="67">
                  <c:v>31.714000000000059</c:v>
                </c:pt>
                <c:pt idx="68">
                  <c:v>31.95600000000006</c:v>
                </c:pt>
                <c:pt idx="69">
                  <c:v>32.198000000000057</c:v>
                </c:pt>
                <c:pt idx="70">
                  <c:v>32.440000000000055</c:v>
                </c:pt>
                <c:pt idx="71">
                  <c:v>32.682000000000052</c:v>
                </c:pt>
                <c:pt idx="72">
                  <c:v>32.924000000000049</c:v>
                </c:pt>
                <c:pt idx="73">
                  <c:v>33.166000000000047</c:v>
                </c:pt>
                <c:pt idx="74">
                  <c:v>33.408000000000044</c:v>
                </c:pt>
                <c:pt idx="75">
                  <c:v>33.650000000000041</c:v>
                </c:pt>
                <c:pt idx="76">
                  <c:v>33.892000000000039</c:v>
                </c:pt>
                <c:pt idx="77">
                  <c:v>34.134000000000036</c:v>
                </c:pt>
                <c:pt idx="78">
                  <c:v>34.376000000000033</c:v>
                </c:pt>
                <c:pt idx="79">
                  <c:v>34.618000000000031</c:v>
                </c:pt>
                <c:pt idx="80">
                  <c:v>34.860000000000028</c:v>
                </c:pt>
                <c:pt idx="81">
                  <c:v>35.102000000000025</c:v>
                </c:pt>
                <c:pt idx="82">
                  <c:v>35.344000000000023</c:v>
                </c:pt>
                <c:pt idx="83">
                  <c:v>35.58600000000002</c:v>
                </c:pt>
                <c:pt idx="84">
                  <c:v>35.828000000000017</c:v>
                </c:pt>
                <c:pt idx="85">
                  <c:v>36.070000000000014</c:v>
                </c:pt>
                <c:pt idx="86">
                  <c:v>36.312000000000012</c:v>
                </c:pt>
                <c:pt idx="87">
                  <c:v>36.554000000000009</c:v>
                </c:pt>
                <c:pt idx="88">
                  <c:v>36.796000000000006</c:v>
                </c:pt>
                <c:pt idx="89">
                  <c:v>37.038000000000004</c:v>
                </c:pt>
                <c:pt idx="90">
                  <c:v>37.28</c:v>
                </c:pt>
                <c:pt idx="91">
                  <c:v>37.521999999999998</c:v>
                </c:pt>
                <c:pt idx="92">
                  <c:v>37.763999999999996</c:v>
                </c:pt>
                <c:pt idx="93">
                  <c:v>38.005999999999993</c:v>
                </c:pt>
                <c:pt idx="94">
                  <c:v>38.24799999999999</c:v>
                </c:pt>
                <c:pt idx="95">
                  <c:v>38.489999999999988</c:v>
                </c:pt>
                <c:pt idx="96">
                  <c:v>38.731999999999985</c:v>
                </c:pt>
                <c:pt idx="97">
                  <c:v>38.973999999999982</c:v>
                </c:pt>
                <c:pt idx="98">
                  <c:v>39.21599999999998</c:v>
                </c:pt>
                <c:pt idx="99">
                  <c:v>39.457999999999977</c:v>
                </c:pt>
                <c:pt idx="100">
                  <c:v>39.699999999999974</c:v>
                </c:pt>
              </c:numCache>
            </c:numRef>
          </c:xVal>
          <c:yVal>
            <c:numRef>
              <c:f>Corrección!$P$732:$P$832</c:f>
              <c:numCache>
                <c:formatCode>0.0000</c:formatCode>
                <c:ptCount val="101"/>
                <c:pt idx="0">
                  <c:v>5.2350934703641383E-2</c:v>
                </c:pt>
                <c:pt idx="1">
                  <c:v>5.1335186497740784E-2</c:v>
                </c:pt>
                <c:pt idx="2">
                  <c:v>5.0319438291840199E-2</c:v>
                </c:pt>
                <c:pt idx="3">
                  <c:v>4.93036900859396E-2</c:v>
                </c:pt>
                <c:pt idx="4">
                  <c:v>4.8287941880039001E-2</c:v>
                </c:pt>
                <c:pt idx="5">
                  <c:v>4.7272193674138402E-2</c:v>
                </c:pt>
                <c:pt idx="6">
                  <c:v>4.6256445468237803E-2</c:v>
                </c:pt>
                <c:pt idx="7">
                  <c:v>4.5240697262337204E-2</c:v>
                </c:pt>
                <c:pt idx="8">
                  <c:v>4.4224949056436605E-2</c:v>
                </c:pt>
                <c:pt idx="9">
                  <c:v>4.3209200850536006E-2</c:v>
                </c:pt>
                <c:pt idx="10">
                  <c:v>4.2193452644635421E-2</c:v>
                </c:pt>
                <c:pt idx="11">
                  <c:v>4.1177704438734822E-2</c:v>
                </c:pt>
                <c:pt idx="12">
                  <c:v>4.0161956232834223E-2</c:v>
                </c:pt>
                <c:pt idx="13">
                  <c:v>3.9146208026933624E-2</c:v>
                </c:pt>
                <c:pt idx="14">
                  <c:v>3.8130459821033025E-2</c:v>
                </c:pt>
                <c:pt idx="15">
                  <c:v>3.7114711615132426E-2</c:v>
                </c:pt>
                <c:pt idx="16">
                  <c:v>3.6098963409231827E-2</c:v>
                </c:pt>
                <c:pt idx="17">
                  <c:v>3.5083215203331242E-2</c:v>
                </c:pt>
                <c:pt idx="18">
                  <c:v>3.4067466997430643E-2</c:v>
                </c:pt>
                <c:pt idx="19">
                  <c:v>3.3051718791530044E-2</c:v>
                </c:pt>
                <c:pt idx="20">
                  <c:v>3.2035970585629445E-2</c:v>
                </c:pt>
                <c:pt idx="21">
                  <c:v>3.1020222379728846E-2</c:v>
                </c:pt>
                <c:pt idx="22">
                  <c:v>3.0004474173828247E-2</c:v>
                </c:pt>
                <c:pt idx="23">
                  <c:v>2.8988725967927648E-2</c:v>
                </c:pt>
                <c:pt idx="24">
                  <c:v>2.7972977762027049E-2</c:v>
                </c:pt>
                <c:pt idx="25">
                  <c:v>2.6957229556126464E-2</c:v>
                </c:pt>
                <c:pt idx="26">
                  <c:v>2.5941481350225865E-2</c:v>
                </c:pt>
                <c:pt idx="27">
                  <c:v>2.4925733144325266E-2</c:v>
                </c:pt>
                <c:pt idx="28">
                  <c:v>2.3909984938424667E-2</c:v>
                </c:pt>
                <c:pt idx="29">
                  <c:v>2.2894236732524068E-2</c:v>
                </c:pt>
                <c:pt idx="30">
                  <c:v>2.1878488526623469E-2</c:v>
                </c:pt>
                <c:pt idx="31">
                  <c:v>2.086274032072287E-2</c:v>
                </c:pt>
                <c:pt idx="32">
                  <c:v>1.9846992114822284E-2</c:v>
                </c:pt>
                <c:pt idx="33">
                  <c:v>1.8831243908921685E-2</c:v>
                </c:pt>
                <c:pt idx="34">
                  <c:v>1.7815495703021086E-2</c:v>
                </c:pt>
                <c:pt idx="35">
                  <c:v>1.6799747497120487E-2</c:v>
                </c:pt>
                <c:pt idx="36">
                  <c:v>1.5783999291219888E-2</c:v>
                </c:pt>
                <c:pt idx="37">
                  <c:v>1.4768251085319289E-2</c:v>
                </c:pt>
                <c:pt idx="38">
                  <c:v>1.375250287941869E-2</c:v>
                </c:pt>
                <c:pt idx="39">
                  <c:v>1.2736754673518091E-2</c:v>
                </c:pt>
                <c:pt idx="40">
                  <c:v>1.1721006467617506E-2</c:v>
                </c:pt>
                <c:pt idx="41">
                  <c:v>1.0705258261716907E-2</c:v>
                </c:pt>
                <c:pt idx="42">
                  <c:v>9.6895100558163083E-3</c:v>
                </c:pt>
                <c:pt idx="43">
                  <c:v>8.6737618499157093E-3</c:v>
                </c:pt>
                <c:pt idx="44">
                  <c:v>7.6580136440151103E-3</c:v>
                </c:pt>
                <c:pt idx="45">
                  <c:v>6.6422654381145113E-3</c:v>
                </c:pt>
                <c:pt idx="46">
                  <c:v>5.6265172322139123E-3</c:v>
                </c:pt>
                <c:pt idx="47">
                  <c:v>4.6107690263133272E-3</c:v>
                </c:pt>
                <c:pt idx="48">
                  <c:v>3.5950208204127282E-3</c:v>
                </c:pt>
                <c:pt idx="49">
                  <c:v>2.5792726145121292E-3</c:v>
                </c:pt>
                <c:pt idx="50">
                  <c:v>1.5635244086115302E-3</c:v>
                </c:pt>
                <c:pt idx="51">
                  <c:v>5.4777620271093119E-4</c:v>
                </c:pt>
                <c:pt idx="52">
                  <c:v>-4.6797200318966781E-4</c:v>
                </c:pt>
                <c:pt idx="53">
                  <c:v>-1.4837202090902668E-3</c:v>
                </c:pt>
                <c:pt idx="54">
                  <c:v>-2.4994684149908658E-3</c:v>
                </c:pt>
                <c:pt idx="55">
                  <c:v>-3.5152166208914509E-3</c:v>
                </c:pt>
                <c:pt idx="56">
                  <c:v>-4.5309648267920499E-3</c:v>
                </c:pt>
                <c:pt idx="57">
                  <c:v>-5.5467130326926489E-3</c:v>
                </c:pt>
                <c:pt idx="58">
                  <c:v>-6.5624612385932479E-3</c:v>
                </c:pt>
                <c:pt idx="59">
                  <c:v>-7.5782094444938469E-3</c:v>
                </c:pt>
                <c:pt idx="60">
                  <c:v>-8.593957650394432E-3</c:v>
                </c:pt>
                <c:pt idx="61">
                  <c:v>-9.6097058562950449E-3</c:v>
                </c:pt>
                <c:pt idx="62">
                  <c:v>-1.062545406219563E-2</c:v>
                </c:pt>
                <c:pt idx="63">
                  <c:v>-1.1641202268096243E-2</c:v>
                </c:pt>
                <c:pt idx="64">
                  <c:v>-1.2656950473996828E-2</c:v>
                </c:pt>
                <c:pt idx="65">
                  <c:v>-1.3672698679897441E-2</c:v>
                </c:pt>
                <c:pt idx="66">
                  <c:v>-1.4688446885798026E-2</c:v>
                </c:pt>
                <c:pt idx="67">
                  <c:v>-1.5704195091698611E-2</c:v>
                </c:pt>
                <c:pt idx="68">
                  <c:v>-1.6719943297599224E-2</c:v>
                </c:pt>
                <c:pt idx="69">
                  <c:v>-1.7735691503499809E-2</c:v>
                </c:pt>
                <c:pt idx="70">
                  <c:v>-1.8751439709400394E-2</c:v>
                </c:pt>
                <c:pt idx="71">
                  <c:v>-1.9767187915300979E-2</c:v>
                </c:pt>
                <c:pt idx="72">
                  <c:v>-2.0782936121201537E-2</c:v>
                </c:pt>
                <c:pt idx="73">
                  <c:v>-2.1798684327102122E-2</c:v>
                </c:pt>
                <c:pt idx="74">
                  <c:v>-2.2814432533002707E-2</c:v>
                </c:pt>
                <c:pt idx="75">
                  <c:v>-2.3830180738903292E-2</c:v>
                </c:pt>
                <c:pt idx="76">
                  <c:v>-2.4845928944803877E-2</c:v>
                </c:pt>
                <c:pt idx="77">
                  <c:v>-2.5861677150704462E-2</c:v>
                </c:pt>
                <c:pt idx="78">
                  <c:v>-2.6877425356605048E-2</c:v>
                </c:pt>
                <c:pt idx="79">
                  <c:v>-2.7893173562505633E-2</c:v>
                </c:pt>
                <c:pt idx="80">
                  <c:v>-2.8908921768406218E-2</c:v>
                </c:pt>
                <c:pt idx="81">
                  <c:v>-2.9924669974306775E-2</c:v>
                </c:pt>
                <c:pt idx="82">
                  <c:v>-3.094041818020736E-2</c:v>
                </c:pt>
                <c:pt idx="83">
                  <c:v>-3.1956166386107945E-2</c:v>
                </c:pt>
                <c:pt idx="84">
                  <c:v>-3.297191459200853E-2</c:v>
                </c:pt>
                <c:pt idx="85">
                  <c:v>-3.3987662797909116E-2</c:v>
                </c:pt>
                <c:pt idx="86">
                  <c:v>-3.5003411003809701E-2</c:v>
                </c:pt>
                <c:pt idx="87">
                  <c:v>-3.6019159209710286E-2</c:v>
                </c:pt>
                <c:pt idx="88">
                  <c:v>-3.7034907415610871E-2</c:v>
                </c:pt>
                <c:pt idx="89">
                  <c:v>-3.8050655621511456E-2</c:v>
                </c:pt>
                <c:pt idx="90">
                  <c:v>-3.9066403827412041E-2</c:v>
                </c:pt>
                <c:pt idx="91">
                  <c:v>-4.0082152033312599E-2</c:v>
                </c:pt>
                <c:pt idx="92">
                  <c:v>-4.1097900239213184E-2</c:v>
                </c:pt>
                <c:pt idx="93">
                  <c:v>-4.2113648445113769E-2</c:v>
                </c:pt>
                <c:pt idx="94">
                  <c:v>-4.3129396651014354E-2</c:v>
                </c:pt>
                <c:pt idx="95">
                  <c:v>-4.4145144856914939E-2</c:v>
                </c:pt>
                <c:pt idx="96">
                  <c:v>-4.5160893062815524E-2</c:v>
                </c:pt>
                <c:pt idx="97">
                  <c:v>-4.6176641268716109E-2</c:v>
                </c:pt>
                <c:pt idx="98">
                  <c:v>-4.7192389474616694E-2</c:v>
                </c:pt>
                <c:pt idx="99">
                  <c:v>-4.820813768051728E-2</c:v>
                </c:pt>
                <c:pt idx="100">
                  <c:v>-4.9223885886417837E-2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A6-4A64-A2B4-8D48E9E303E1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Corrección!$E$550:$E$552</c:f>
                <c:numCache>
                  <c:formatCode>General</c:formatCode>
                  <c:ptCount val="3"/>
                  <c:pt idx="0">
                    <c:v>0.28999999999999998</c:v>
                  </c:pt>
                  <c:pt idx="1">
                    <c:v>0.3</c:v>
                  </c:pt>
                  <c:pt idx="2">
                    <c:v>0.3</c:v>
                  </c:pt>
                </c:numCache>
              </c:numRef>
            </c:plus>
            <c:minus>
              <c:numRef>
                <c:f>Corrección!$E$550:$E$552</c:f>
                <c:numCache>
                  <c:formatCode>General</c:formatCode>
                  <c:ptCount val="3"/>
                  <c:pt idx="0">
                    <c:v>0.28999999999999998</c:v>
                  </c:pt>
                  <c:pt idx="1">
                    <c:v>0.3</c:v>
                  </c:pt>
                  <c:pt idx="2">
                    <c:v>0.3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Corrección!$C$550:$C$552</c:f>
              <c:numCache>
                <c:formatCode>General</c:formatCode>
                <c:ptCount val="3"/>
                <c:pt idx="0">
                  <c:v>15.5</c:v>
                </c:pt>
                <c:pt idx="1">
                  <c:v>31.1</c:v>
                </c:pt>
                <c:pt idx="2">
                  <c:v>39.700000000000003</c:v>
                </c:pt>
              </c:numCache>
            </c:numRef>
          </c:xVal>
          <c:yVal>
            <c:numRef>
              <c:f>Corrección!$D$550:$D$552</c:f>
              <c:numCache>
                <c:formatCode>General</c:formatCode>
                <c:ptCount val="3"/>
                <c:pt idx="0">
                  <c:v>0.3</c:v>
                </c:pt>
                <c:pt idx="1">
                  <c:v>-0.71</c:v>
                </c:pt>
                <c:pt idx="2">
                  <c:v>0.4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A6-4A64-A2B4-8D48E9E303E1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xVal>
            <c:numRef>
              <c:f>Corrección!$E$564:$E$565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Corrección!$F$564:$F$565</c:f>
              <c:numCache>
                <c:formatCode>0.0000</c:formatCode>
                <c:ptCount val="2"/>
                <c:pt idx="0">
                  <c:v>0.1174091875609108</c:v>
                </c:pt>
                <c:pt idx="1">
                  <c:v>0.1174091875609108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A6-4A64-A2B4-8D48E9E30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rgbClr val="002060"/>
                    </a:solidFill>
                  </a:rPr>
                  <a:t> [°C]</a:t>
                </a: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Corrección a la indicación, [°C]</a:t>
                </a:r>
              </a:p>
              <a:p>
                <a:pPr>
                  <a:defRPr sz="1100">
                    <a:solidFill>
                      <a:srgbClr val="002060"/>
                    </a:solidFill>
                  </a:defRPr>
                </a:pP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 i="0">
                <a:solidFill>
                  <a:srgbClr val="002060"/>
                </a:solidFill>
              </a:rPr>
              <a:t>Curva</a:t>
            </a:r>
            <a:r>
              <a:rPr lang="en-US" i="0" baseline="0">
                <a:solidFill>
                  <a:srgbClr val="002060"/>
                </a:solidFill>
              </a:rPr>
              <a:t> de r</a:t>
            </a:r>
            <a:r>
              <a:rPr lang="en-US" i="0">
                <a:solidFill>
                  <a:srgbClr val="002060"/>
                </a:solidFill>
              </a:rPr>
              <a:t>egresión</a:t>
            </a:r>
            <a:r>
              <a:rPr lang="en-US" i="0" baseline="0">
                <a:solidFill>
                  <a:srgbClr val="002060"/>
                </a:solidFill>
              </a:rPr>
              <a:t> de los resultados de calibración P004-6 (h.rel)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Corrección!$Q$732:$Q$832</c:f>
              <c:numCache>
                <c:formatCode>0.0000</c:formatCode>
                <c:ptCount val="101"/>
                <c:pt idx="0">
                  <c:v>25</c:v>
                </c:pt>
                <c:pt idx="1">
                  <c:v>25.58</c:v>
                </c:pt>
                <c:pt idx="2">
                  <c:v>26.159999999999997</c:v>
                </c:pt>
                <c:pt idx="3">
                  <c:v>26.739999999999995</c:v>
                </c:pt>
                <c:pt idx="4">
                  <c:v>27.319999999999993</c:v>
                </c:pt>
                <c:pt idx="5">
                  <c:v>27.899999999999991</c:v>
                </c:pt>
                <c:pt idx="6">
                  <c:v>28.47999999999999</c:v>
                </c:pt>
                <c:pt idx="7">
                  <c:v>29.059999999999988</c:v>
                </c:pt>
                <c:pt idx="8">
                  <c:v>29.639999999999986</c:v>
                </c:pt>
                <c:pt idx="9">
                  <c:v>30.219999999999985</c:v>
                </c:pt>
                <c:pt idx="10">
                  <c:v>30.799999999999983</c:v>
                </c:pt>
                <c:pt idx="11">
                  <c:v>31.379999999999981</c:v>
                </c:pt>
                <c:pt idx="12">
                  <c:v>31.95999999999998</c:v>
                </c:pt>
                <c:pt idx="13">
                  <c:v>32.539999999999978</c:v>
                </c:pt>
                <c:pt idx="14">
                  <c:v>33.119999999999976</c:v>
                </c:pt>
                <c:pt idx="15">
                  <c:v>33.699999999999974</c:v>
                </c:pt>
                <c:pt idx="16">
                  <c:v>34.279999999999973</c:v>
                </c:pt>
                <c:pt idx="17">
                  <c:v>34.859999999999971</c:v>
                </c:pt>
                <c:pt idx="18">
                  <c:v>35.439999999999969</c:v>
                </c:pt>
                <c:pt idx="19">
                  <c:v>36.019999999999968</c:v>
                </c:pt>
                <c:pt idx="20">
                  <c:v>36.599999999999966</c:v>
                </c:pt>
                <c:pt idx="21">
                  <c:v>37.179999999999964</c:v>
                </c:pt>
                <c:pt idx="22">
                  <c:v>37.759999999999962</c:v>
                </c:pt>
                <c:pt idx="23">
                  <c:v>38.339999999999961</c:v>
                </c:pt>
                <c:pt idx="24">
                  <c:v>38.919999999999959</c:v>
                </c:pt>
                <c:pt idx="25">
                  <c:v>39.499999999999957</c:v>
                </c:pt>
                <c:pt idx="26">
                  <c:v>40.079999999999956</c:v>
                </c:pt>
                <c:pt idx="27">
                  <c:v>40.659999999999954</c:v>
                </c:pt>
                <c:pt idx="28">
                  <c:v>41.239999999999952</c:v>
                </c:pt>
                <c:pt idx="29">
                  <c:v>41.819999999999951</c:v>
                </c:pt>
                <c:pt idx="30">
                  <c:v>42.399999999999949</c:v>
                </c:pt>
                <c:pt idx="31">
                  <c:v>42.979999999999947</c:v>
                </c:pt>
                <c:pt idx="32">
                  <c:v>43.559999999999945</c:v>
                </c:pt>
                <c:pt idx="33">
                  <c:v>44.139999999999944</c:v>
                </c:pt>
                <c:pt idx="34">
                  <c:v>44.719999999999942</c:v>
                </c:pt>
                <c:pt idx="35">
                  <c:v>45.29999999999994</c:v>
                </c:pt>
                <c:pt idx="36">
                  <c:v>45.879999999999939</c:v>
                </c:pt>
                <c:pt idx="37">
                  <c:v>46.459999999999937</c:v>
                </c:pt>
                <c:pt idx="38">
                  <c:v>47.039999999999935</c:v>
                </c:pt>
                <c:pt idx="39">
                  <c:v>47.619999999999933</c:v>
                </c:pt>
                <c:pt idx="40">
                  <c:v>48.199999999999932</c:v>
                </c:pt>
                <c:pt idx="41">
                  <c:v>48.77999999999993</c:v>
                </c:pt>
                <c:pt idx="42">
                  <c:v>49.359999999999928</c:v>
                </c:pt>
                <c:pt idx="43">
                  <c:v>49.939999999999927</c:v>
                </c:pt>
                <c:pt idx="44">
                  <c:v>50.519999999999925</c:v>
                </c:pt>
                <c:pt idx="45">
                  <c:v>51.099999999999923</c:v>
                </c:pt>
                <c:pt idx="46">
                  <c:v>51.679999999999922</c:v>
                </c:pt>
                <c:pt idx="47">
                  <c:v>52.25999999999992</c:v>
                </c:pt>
                <c:pt idx="48">
                  <c:v>52.839999999999918</c:v>
                </c:pt>
                <c:pt idx="49">
                  <c:v>53.419999999999916</c:v>
                </c:pt>
                <c:pt idx="50">
                  <c:v>53.999999999999915</c:v>
                </c:pt>
                <c:pt idx="51">
                  <c:v>54.579999999999913</c:v>
                </c:pt>
                <c:pt idx="52">
                  <c:v>55.159999999999911</c:v>
                </c:pt>
                <c:pt idx="53">
                  <c:v>55.73999999999991</c:v>
                </c:pt>
                <c:pt idx="54">
                  <c:v>56.319999999999908</c:v>
                </c:pt>
                <c:pt idx="55">
                  <c:v>56.899999999999906</c:v>
                </c:pt>
                <c:pt idx="56">
                  <c:v>57.479999999999905</c:v>
                </c:pt>
                <c:pt idx="57">
                  <c:v>58.059999999999903</c:v>
                </c:pt>
                <c:pt idx="58">
                  <c:v>58.639999999999901</c:v>
                </c:pt>
                <c:pt idx="59">
                  <c:v>59.219999999999899</c:v>
                </c:pt>
                <c:pt idx="60">
                  <c:v>59.799999999999898</c:v>
                </c:pt>
                <c:pt idx="61">
                  <c:v>60.379999999999896</c:v>
                </c:pt>
                <c:pt idx="62">
                  <c:v>60.959999999999894</c:v>
                </c:pt>
                <c:pt idx="63">
                  <c:v>61.539999999999893</c:v>
                </c:pt>
                <c:pt idx="64">
                  <c:v>62.119999999999891</c:v>
                </c:pt>
                <c:pt idx="65">
                  <c:v>62.699999999999889</c:v>
                </c:pt>
                <c:pt idx="66">
                  <c:v>63.279999999999887</c:v>
                </c:pt>
                <c:pt idx="67">
                  <c:v>63.859999999999886</c:v>
                </c:pt>
                <c:pt idx="68">
                  <c:v>64.439999999999884</c:v>
                </c:pt>
                <c:pt idx="69">
                  <c:v>65.019999999999882</c:v>
                </c:pt>
                <c:pt idx="70">
                  <c:v>65.599999999999881</c:v>
                </c:pt>
                <c:pt idx="71">
                  <c:v>66.179999999999879</c:v>
                </c:pt>
                <c:pt idx="72">
                  <c:v>66.759999999999877</c:v>
                </c:pt>
                <c:pt idx="73">
                  <c:v>67.339999999999876</c:v>
                </c:pt>
                <c:pt idx="74">
                  <c:v>67.919999999999874</c:v>
                </c:pt>
                <c:pt idx="75">
                  <c:v>68.499999999999872</c:v>
                </c:pt>
                <c:pt idx="76">
                  <c:v>69.07999999999987</c:v>
                </c:pt>
                <c:pt idx="77">
                  <c:v>69.659999999999869</c:v>
                </c:pt>
                <c:pt idx="78">
                  <c:v>70.239999999999867</c:v>
                </c:pt>
                <c:pt idx="79">
                  <c:v>70.819999999999865</c:v>
                </c:pt>
                <c:pt idx="80">
                  <c:v>71.399999999999864</c:v>
                </c:pt>
                <c:pt idx="81">
                  <c:v>71.979999999999862</c:v>
                </c:pt>
                <c:pt idx="82">
                  <c:v>72.55999999999986</c:v>
                </c:pt>
                <c:pt idx="83">
                  <c:v>73.139999999999858</c:v>
                </c:pt>
                <c:pt idx="84">
                  <c:v>73.719999999999857</c:v>
                </c:pt>
                <c:pt idx="85">
                  <c:v>74.299999999999855</c:v>
                </c:pt>
                <c:pt idx="86">
                  <c:v>74.879999999999853</c:v>
                </c:pt>
                <c:pt idx="87">
                  <c:v>75.459999999999852</c:v>
                </c:pt>
                <c:pt idx="88">
                  <c:v>76.03999999999985</c:v>
                </c:pt>
                <c:pt idx="89">
                  <c:v>76.619999999999848</c:v>
                </c:pt>
                <c:pt idx="90">
                  <c:v>77.199999999999847</c:v>
                </c:pt>
                <c:pt idx="91">
                  <c:v>77.779999999999845</c:v>
                </c:pt>
                <c:pt idx="92">
                  <c:v>78.359999999999843</c:v>
                </c:pt>
                <c:pt idx="93">
                  <c:v>78.939999999999841</c:v>
                </c:pt>
                <c:pt idx="94">
                  <c:v>79.51999999999984</c:v>
                </c:pt>
                <c:pt idx="95">
                  <c:v>80.099999999999838</c:v>
                </c:pt>
                <c:pt idx="96">
                  <c:v>80.679999999999836</c:v>
                </c:pt>
                <c:pt idx="97">
                  <c:v>81.259999999999835</c:v>
                </c:pt>
                <c:pt idx="98">
                  <c:v>81.839999999999833</c:v>
                </c:pt>
                <c:pt idx="99">
                  <c:v>82.419999999999831</c:v>
                </c:pt>
                <c:pt idx="100">
                  <c:v>82.999999999999829</c:v>
                </c:pt>
              </c:numCache>
            </c:numRef>
          </c:xVal>
          <c:yVal>
            <c:numRef>
              <c:f>Corrección!$R$732:$R$832</c:f>
              <c:numCache>
                <c:formatCode>0.0000</c:formatCode>
                <c:ptCount val="101"/>
                <c:pt idx="0">
                  <c:v>-1.5237397420867522</c:v>
                </c:pt>
                <c:pt idx="1">
                  <c:v>-1.5232297772567405</c:v>
                </c:pt>
                <c:pt idx="2">
                  <c:v>-1.5227198124267289</c:v>
                </c:pt>
                <c:pt idx="3">
                  <c:v>-1.5222098475967172</c:v>
                </c:pt>
                <c:pt idx="4">
                  <c:v>-1.5216998827667054</c:v>
                </c:pt>
                <c:pt idx="5">
                  <c:v>-1.5211899179366937</c:v>
                </c:pt>
                <c:pt idx="6">
                  <c:v>-1.5206799531066819</c:v>
                </c:pt>
                <c:pt idx="7">
                  <c:v>-1.5201699882766704</c:v>
                </c:pt>
                <c:pt idx="8">
                  <c:v>-1.5196600234466586</c:v>
                </c:pt>
                <c:pt idx="9">
                  <c:v>-1.5191500586166469</c:v>
                </c:pt>
                <c:pt idx="10">
                  <c:v>-1.5186400937866351</c:v>
                </c:pt>
                <c:pt idx="11">
                  <c:v>-1.5181301289566234</c:v>
                </c:pt>
                <c:pt idx="12">
                  <c:v>-1.5176201641266116</c:v>
                </c:pt>
                <c:pt idx="13">
                  <c:v>-1.5171101992966001</c:v>
                </c:pt>
                <c:pt idx="14">
                  <c:v>-1.5166002344665883</c:v>
                </c:pt>
                <c:pt idx="15">
                  <c:v>-1.5160902696365766</c:v>
                </c:pt>
                <c:pt idx="16">
                  <c:v>-1.5155803048065648</c:v>
                </c:pt>
                <c:pt idx="17">
                  <c:v>-1.515070339976553</c:v>
                </c:pt>
                <c:pt idx="18">
                  <c:v>-1.5145603751465415</c:v>
                </c:pt>
                <c:pt idx="19">
                  <c:v>-1.5140504103165298</c:v>
                </c:pt>
                <c:pt idx="20">
                  <c:v>-1.513540445486518</c:v>
                </c:pt>
                <c:pt idx="21">
                  <c:v>-1.5130304806565062</c:v>
                </c:pt>
                <c:pt idx="22">
                  <c:v>-1.5125205158264945</c:v>
                </c:pt>
                <c:pt idx="23">
                  <c:v>-1.5120105509964827</c:v>
                </c:pt>
                <c:pt idx="24">
                  <c:v>-1.5115005861664712</c:v>
                </c:pt>
                <c:pt idx="25">
                  <c:v>-1.5109906213364594</c:v>
                </c:pt>
                <c:pt idx="26">
                  <c:v>-1.5104806565064477</c:v>
                </c:pt>
                <c:pt idx="27">
                  <c:v>-1.5099706916764359</c:v>
                </c:pt>
                <c:pt idx="28">
                  <c:v>-1.5094607268464242</c:v>
                </c:pt>
                <c:pt idx="29">
                  <c:v>-1.5089507620164127</c:v>
                </c:pt>
                <c:pt idx="30">
                  <c:v>-1.5084407971864009</c:v>
                </c:pt>
                <c:pt idx="31">
                  <c:v>-1.5079308323563891</c:v>
                </c:pt>
                <c:pt idx="32">
                  <c:v>-1.5074208675263774</c:v>
                </c:pt>
                <c:pt idx="33">
                  <c:v>-1.5069109026963656</c:v>
                </c:pt>
                <c:pt idx="34">
                  <c:v>-1.5064009378663539</c:v>
                </c:pt>
                <c:pt idx="35">
                  <c:v>-1.5058909730363423</c:v>
                </c:pt>
                <c:pt idx="36">
                  <c:v>-1.5053810082063306</c:v>
                </c:pt>
                <c:pt idx="37">
                  <c:v>-1.5048710433763188</c:v>
                </c:pt>
                <c:pt idx="38">
                  <c:v>-1.5043610785463071</c:v>
                </c:pt>
                <c:pt idx="39">
                  <c:v>-1.5038511137162953</c:v>
                </c:pt>
                <c:pt idx="40">
                  <c:v>-1.5033411488862836</c:v>
                </c:pt>
                <c:pt idx="41">
                  <c:v>-1.502831184056272</c:v>
                </c:pt>
                <c:pt idx="42">
                  <c:v>-1.5023212192262603</c:v>
                </c:pt>
                <c:pt idx="43">
                  <c:v>-1.5018112543962485</c:v>
                </c:pt>
                <c:pt idx="44">
                  <c:v>-1.5013012895662368</c:v>
                </c:pt>
                <c:pt idx="45">
                  <c:v>-1.500791324736225</c:v>
                </c:pt>
                <c:pt idx="46">
                  <c:v>-1.5002813599062135</c:v>
                </c:pt>
                <c:pt idx="47">
                  <c:v>-1.4997713950762017</c:v>
                </c:pt>
                <c:pt idx="48">
                  <c:v>-1.49926143024619</c:v>
                </c:pt>
                <c:pt idx="49">
                  <c:v>-1.4987514654161782</c:v>
                </c:pt>
                <c:pt idx="50">
                  <c:v>-1.4982415005861665</c:v>
                </c:pt>
                <c:pt idx="51">
                  <c:v>-1.4977315357561547</c:v>
                </c:pt>
                <c:pt idx="52">
                  <c:v>-1.4972215709261432</c:v>
                </c:pt>
                <c:pt idx="53">
                  <c:v>-1.4967116060961314</c:v>
                </c:pt>
                <c:pt idx="54">
                  <c:v>-1.4962016412661197</c:v>
                </c:pt>
                <c:pt idx="55">
                  <c:v>-1.4956916764361079</c:v>
                </c:pt>
                <c:pt idx="56">
                  <c:v>-1.4951817116060961</c:v>
                </c:pt>
                <c:pt idx="57">
                  <c:v>-1.4946717467760846</c:v>
                </c:pt>
                <c:pt idx="58">
                  <c:v>-1.4941617819460729</c:v>
                </c:pt>
                <c:pt idx="59">
                  <c:v>-1.4936518171160611</c:v>
                </c:pt>
                <c:pt idx="60">
                  <c:v>-1.4931418522860493</c:v>
                </c:pt>
                <c:pt idx="61">
                  <c:v>-1.4926318874560376</c:v>
                </c:pt>
                <c:pt idx="62">
                  <c:v>-1.4921219226260258</c:v>
                </c:pt>
                <c:pt idx="63">
                  <c:v>-1.4916119577960143</c:v>
                </c:pt>
                <c:pt idx="64">
                  <c:v>-1.4911019929660025</c:v>
                </c:pt>
                <c:pt idx="65">
                  <c:v>-1.4905920281359908</c:v>
                </c:pt>
                <c:pt idx="66">
                  <c:v>-1.490082063305979</c:v>
                </c:pt>
                <c:pt idx="67">
                  <c:v>-1.4895720984759673</c:v>
                </c:pt>
                <c:pt idx="68">
                  <c:v>-1.4890621336459557</c:v>
                </c:pt>
                <c:pt idx="69">
                  <c:v>-1.488552168815944</c:v>
                </c:pt>
                <c:pt idx="70">
                  <c:v>-1.4880422039859322</c:v>
                </c:pt>
                <c:pt idx="71">
                  <c:v>-1.4875322391559205</c:v>
                </c:pt>
                <c:pt idx="72">
                  <c:v>-1.4870222743259087</c:v>
                </c:pt>
                <c:pt idx="73">
                  <c:v>-1.486512309495897</c:v>
                </c:pt>
                <c:pt idx="74">
                  <c:v>-1.4860023446658854</c:v>
                </c:pt>
                <c:pt idx="75">
                  <c:v>-1.4854923798358737</c:v>
                </c:pt>
                <c:pt idx="76">
                  <c:v>-1.4849824150058619</c:v>
                </c:pt>
                <c:pt idx="77">
                  <c:v>-1.4844724501758502</c:v>
                </c:pt>
                <c:pt idx="78">
                  <c:v>-1.4839624853458384</c:v>
                </c:pt>
                <c:pt idx="79">
                  <c:v>-1.4834525205158267</c:v>
                </c:pt>
                <c:pt idx="80">
                  <c:v>-1.4829425556858151</c:v>
                </c:pt>
                <c:pt idx="81">
                  <c:v>-1.4824325908558034</c:v>
                </c:pt>
                <c:pt idx="82">
                  <c:v>-1.4819226260257916</c:v>
                </c:pt>
                <c:pt idx="83">
                  <c:v>-1.4814126611957799</c:v>
                </c:pt>
                <c:pt idx="84">
                  <c:v>-1.4809026963657681</c:v>
                </c:pt>
                <c:pt idx="85">
                  <c:v>-1.4803927315357566</c:v>
                </c:pt>
                <c:pt idx="86">
                  <c:v>-1.4798827667057448</c:v>
                </c:pt>
                <c:pt idx="87">
                  <c:v>-1.4793728018757331</c:v>
                </c:pt>
                <c:pt idx="88">
                  <c:v>-1.4788628370457213</c:v>
                </c:pt>
                <c:pt idx="89">
                  <c:v>-1.4783528722157095</c:v>
                </c:pt>
                <c:pt idx="90">
                  <c:v>-1.477842907385698</c:v>
                </c:pt>
                <c:pt idx="91">
                  <c:v>-1.4773329425556863</c:v>
                </c:pt>
                <c:pt idx="92">
                  <c:v>-1.4768229777256745</c:v>
                </c:pt>
                <c:pt idx="93">
                  <c:v>-1.4763130128956627</c:v>
                </c:pt>
                <c:pt idx="94">
                  <c:v>-1.475803048065651</c:v>
                </c:pt>
                <c:pt idx="95">
                  <c:v>-1.4752930832356392</c:v>
                </c:pt>
                <c:pt idx="96">
                  <c:v>-1.4747831184056277</c:v>
                </c:pt>
                <c:pt idx="97">
                  <c:v>-1.4742731535756159</c:v>
                </c:pt>
                <c:pt idx="98">
                  <c:v>-1.4737631887456042</c:v>
                </c:pt>
                <c:pt idx="99">
                  <c:v>-1.4732532239155924</c:v>
                </c:pt>
                <c:pt idx="100">
                  <c:v>-1.4727432590855807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4F-496E-915D-04CACBF74F05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Corrección!$L$550:$L$552</c:f>
                <c:numCache>
                  <c:formatCode>General</c:formatCode>
                  <c:ptCount val="3"/>
                  <c:pt idx="0">
                    <c:v>2</c:v>
                  </c:pt>
                  <c:pt idx="1">
                    <c:v>2</c:v>
                  </c:pt>
                  <c:pt idx="2">
                    <c:v>2</c:v>
                  </c:pt>
                </c:numCache>
              </c:numRef>
            </c:plus>
            <c:minus>
              <c:numRef>
                <c:f>Corrección!$L$550:$L$552</c:f>
                <c:numCache>
                  <c:formatCode>General</c:formatCode>
                  <c:ptCount val="3"/>
                  <c:pt idx="0">
                    <c:v>2</c:v>
                  </c:pt>
                  <c:pt idx="1">
                    <c:v>2</c:v>
                  </c:pt>
                  <c:pt idx="2">
                    <c:v>2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Corrección!$J$550:$J$552</c:f>
              <c:numCache>
                <c:formatCode>General</c:formatCode>
                <c:ptCount val="3"/>
                <c:pt idx="0">
                  <c:v>25</c:v>
                </c:pt>
                <c:pt idx="1">
                  <c:v>48</c:v>
                </c:pt>
                <c:pt idx="2">
                  <c:v>83</c:v>
                </c:pt>
              </c:numCache>
            </c:numRef>
          </c:xVal>
          <c:yVal>
            <c:numRef>
              <c:f>Corrección!$K$550:$K$552</c:f>
              <c:numCache>
                <c:formatCode>General</c:formatCode>
                <c:ptCount val="3"/>
                <c:pt idx="0">
                  <c:v>-4</c:v>
                </c:pt>
                <c:pt idx="1">
                  <c:v>2.6</c:v>
                </c:pt>
                <c:pt idx="2">
                  <c:v>-3.1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4F-496E-915D-04CACBF74F05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xVal>
            <c:numRef>
              <c:f>Corrección!$L$564:$L$565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Corrección!$M$564:$M$565</c:f>
              <c:numCache>
                <c:formatCode>0.0000</c:formatCode>
                <c:ptCount val="2"/>
                <c:pt idx="0">
                  <c:v>-1.5457209847596711</c:v>
                </c:pt>
                <c:pt idx="1">
                  <c:v>-1.5457209847596711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F4F-496E-915D-04CACBF74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rgbClr val="002060"/>
                    </a:solidFill>
                  </a:rPr>
                  <a:t> [%hr]</a:t>
                </a: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Corrección a la indicación, [%hr]</a:t>
                </a:r>
              </a:p>
              <a:p>
                <a:pPr>
                  <a:defRPr sz="1100">
                    <a:solidFill>
                      <a:srgbClr val="002060"/>
                    </a:solidFill>
                  </a:defRPr>
                </a:pP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i="0">
                <a:solidFill>
                  <a:schemeClr val="tx1"/>
                </a:solidFill>
              </a:rPr>
              <a:t>Curva</a:t>
            </a:r>
            <a:r>
              <a:rPr lang="en-US" i="0" baseline="0">
                <a:solidFill>
                  <a:schemeClr val="tx1"/>
                </a:solidFill>
              </a:rPr>
              <a:t> de r</a:t>
            </a:r>
            <a:r>
              <a:rPr lang="en-US" i="0">
                <a:solidFill>
                  <a:schemeClr val="tx1"/>
                </a:solidFill>
              </a:rPr>
              <a:t>egresión</a:t>
            </a:r>
            <a:r>
              <a:rPr lang="en-US" i="0" baseline="0">
                <a:solidFill>
                  <a:schemeClr val="tx1"/>
                </a:solidFill>
              </a:rPr>
              <a:t> de los resultados de calibración P004-5 (t.amb)</a:t>
            </a:r>
            <a:endParaRPr lang="en-US" i="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Corrección!$K$732:$K$832</c:f>
              <c:numCache>
                <c:formatCode>0.0000</c:formatCode>
                <c:ptCount val="101"/>
                <c:pt idx="0">
                  <c:v>15.9</c:v>
                </c:pt>
                <c:pt idx="1">
                  <c:v>16.132999999999999</c:v>
                </c:pt>
                <c:pt idx="2">
                  <c:v>16.366</c:v>
                </c:pt>
                <c:pt idx="3">
                  <c:v>16.599</c:v>
                </c:pt>
                <c:pt idx="4">
                  <c:v>16.832000000000001</c:v>
                </c:pt>
                <c:pt idx="5">
                  <c:v>17.065000000000001</c:v>
                </c:pt>
                <c:pt idx="6">
                  <c:v>17.298000000000002</c:v>
                </c:pt>
                <c:pt idx="7">
                  <c:v>17.531000000000002</c:v>
                </c:pt>
                <c:pt idx="8">
                  <c:v>17.764000000000003</c:v>
                </c:pt>
                <c:pt idx="9">
                  <c:v>17.997000000000003</c:v>
                </c:pt>
                <c:pt idx="10">
                  <c:v>18.230000000000004</c:v>
                </c:pt>
                <c:pt idx="11">
                  <c:v>18.463000000000005</c:v>
                </c:pt>
                <c:pt idx="12">
                  <c:v>18.696000000000005</c:v>
                </c:pt>
                <c:pt idx="13">
                  <c:v>18.929000000000006</c:v>
                </c:pt>
                <c:pt idx="14">
                  <c:v>19.162000000000006</c:v>
                </c:pt>
                <c:pt idx="15">
                  <c:v>19.395000000000007</c:v>
                </c:pt>
                <c:pt idx="16">
                  <c:v>19.628000000000007</c:v>
                </c:pt>
                <c:pt idx="17">
                  <c:v>19.861000000000008</c:v>
                </c:pt>
                <c:pt idx="18">
                  <c:v>20.094000000000008</c:v>
                </c:pt>
                <c:pt idx="19">
                  <c:v>20.327000000000009</c:v>
                </c:pt>
                <c:pt idx="20">
                  <c:v>20.560000000000009</c:v>
                </c:pt>
                <c:pt idx="21">
                  <c:v>20.79300000000001</c:v>
                </c:pt>
                <c:pt idx="22">
                  <c:v>21.02600000000001</c:v>
                </c:pt>
                <c:pt idx="23">
                  <c:v>21.259000000000011</c:v>
                </c:pt>
                <c:pt idx="24">
                  <c:v>21.492000000000012</c:v>
                </c:pt>
                <c:pt idx="25">
                  <c:v>21.725000000000012</c:v>
                </c:pt>
                <c:pt idx="26">
                  <c:v>21.958000000000013</c:v>
                </c:pt>
                <c:pt idx="27">
                  <c:v>22.191000000000013</c:v>
                </c:pt>
                <c:pt idx="28">
                  <c:v>22.424000000000014</c:v>
                </c:pt>
                <c:pt idx="29">
                  <c:v>22.657000000000014</c:v>
                </c:pt>
                <c:pt idx="30">
                  <c:v>22.890000000000015</c:v>
                </c:pt>
                <c:pt idx="31">
                  <c:v>23.123000000000015</c:v>
                </c:pt>
                <c:pt idx="32">
                  <c:v>23.356000000000016</c:v>
                </c:pt>
                <c:pt idx="33">
                  <c:v>23.589000000000016</c:v>
                </c:pt>
                <c:pt idx="34">
                  <c:v>23.822000000000017</c:v>
                </c:pt>
                <c:pt idx="35">
                  <c:v>24.055000000000017</c:v>
                </c:pt>
                <c:pt idx="36">
                  <c:v>24.288000000000018</c:v>
                </c:pt>
                <c:pt idx="37">
                  <c:v>24.521000000000019</c:v>
                </c:pt>
                <c:pt idx="38">
                  <c:v>24.754000000000019</c:v>
                </c:pt>
                <c:pt idx="39">
                  <c:v>24.98700000000002</c:v>
                </c:pt>
                <c:pt idx="40">
                  <c:v>25.22000000000002</c:v>
                </c:pt>
                <c:pt idx="41">
                  <c:v>25.453000000000021</c:v>
                </c:pt>
                <c:pt idx="42">
                  <c:v>25.686000000000021</c:v>
                </c:pt>
                <c:pt idx="43">
                  <c:v>25.919000000000022</c:v>
                </c:pt>
                <c:pt idx="44">
                  <c:v>26.152000000000022</c:v>
                </c:pt>
                <c:pt idx="45">
                  <c:v>26.385000000000023</c:v>
                </c:pt>
                <c:pt idx="46">
                  <c:v>26.618000000000023</c:v>
                </c:pt>
                <c:pt idx="47">
                  <c:v>26.851000000000024</c:v>
                </c:pt>
                <c:pt idx="48">
                  <c:v>27.084000000000024</c:v>
                </c:pt>
                <c:pt idx="49">
                  <c:v>27.317000000000025</c:v>
                </c:pt>
                <c:pt idx="50">
                  <c:v>27.550000000000026</c:v>
                </c:pt>
                <c:pt idx="51">
                  <c:v>27.783000000000026</c:v>
                </c:pt>
                <c:pt idx="52">
                  <c:v>28.016000000000027</c:v>
                </c:pt>
                <c:pt idx="53">
                  <c:v>28.249000000000027</c:v>
                </c:pt>
                <c:pt idx="54">
                  <c:v>28.482000000000028</c:v>
                </c:pt>
                <c:pt idx="55">
                  <c:v>28.715000000000028</c:v>
                </c:pt>
                <c:pt idx="56">
                  <c:v>28.948000000000029</c:v>
                </c:pt>
                <c:pt idx="57">
                  <c:v>29.181000000000029</c:v>
                </c:pt>
                <c:pt idx="58">
                  <c:v>29.41400000000003</c:v>
                </c:pt>
                <c:pt idx="59">
                  <c:v>29.64700000000003</c:v>
                </c:pt>
                <c:pt idx="60">
                  <c:v>29.880000000000031</c:v>
                </c:pt>
                <c:pt idx="61">
                  <c:v>30.113000000000032</c:v>
                </c:pt>
                <c:pt idx="62">
                  <c:v>30.346000000000032</c:v>
                </c:pt>
                <c:pt idx="63">
                  <c:v>30.579000000000033</c:v>
                </c:pt>
                <c:pt idx="64">
                  <c:v>30.812000000000033</c:v>
                </c:pt>
                <c:pt idx="65">
                  <c:v>31.045000000000034</c:v>
                </c:pt>
                <c:pt idx="66">
                  <c:v>31.278000000000034</c:v>
                </c:pt>
                <c:pt idx="67">
                  <c:v>31.511000000000035</c:v>
                </c:pt>
                <c:pt idx="68">
                  <c:v>31.744000000000035</c:v>
                </c:pt>
                <c:pt idx="69">
                  <c:v>31.977000000000036</c:v>
                </c:pt>
                <c:pt idx="70">
                  <c:v>32.210000000000036</c:v>
                </c:pt>
                <c:pt idx="71">
                  <c:v>32.443000000000033</c:v>
                </c:pt>
                <c:pt idx="72">
                  <c:v>32.67600000000003</c:v>
                </c:pt>
                <c:pt idx="73">
                  <c:v>32.909000000000027</c:v>
                </c:pt>
                <c:pt idx="74">
                  <c:v>33.142000000000024</c:v>
                </c:pt>
                <c:pt idx="75">
                  <c:v>33.375000000000021</c:v>
                </c:pt>
                <c:pt idx="76">
                  <c:v>33.608000000000018</c:v>
                </c:pt>
                <c:pt idx="77">
                  <c:v>33.841000000000015</c:v>
                </c:pt>
                <c:pt idx="78">
                  <c:v>34.074000000000012</c:v>
                </c:pt>
                <c:pt idx="79">
                  <c:v>34.307000000000009</c:v>
                </c:pt>
                <c:pt idx="80">
                  <c:v>34.540000000000006</c:v>
                </c:pt>
                <c:pt idx="81">
                  <c:v>34.773000000000003</c:v>
                </c:pt>
                <c:pt idx="82">
                  <c:v>35.006</c:v>
                </c:pt>
                <c:pt idx="83">
                  <c:v>35.238999999999997</c:v>
                </c:pt>
                <c:pt idx="84">
                  <c:v>35.471999999999994</c:v>
                </c:pt>
                <c:pt idx="85">
                  <c:v>35.704999999999991</c:v>
                </c:pt>
                <c:pt idx="86">
                  <c:v>35.937999999999988</c:v>
                </c:pt>
                <c:pt idx="87">
                  <c:v>36.170999999999985</c:v>
                </c:pt>
                <c:pt idx="88">
                  <c:v>36.403999999999982</c:v>
                </c:pt>
                <c:pt idx="89">
                  <c:v>36.636999999999979</c:v>
                </c:pt>
                <c:pt idx="90">
                  <c:v>36.869999999999976</c:v>
                </c:pt>
                <c:pt idx="91">
                  <c:v>37.102999999999973</c:v>
                </c:pt>
                <c:pt idx="92">
                  <c:v>37.33599999999997</c:v>
                </c:pt>
                <c:pt idx="93">
                  <c:v>37.568999999999967</c:v>
                </c:pt>
                <c:pt idx="94">
                  <c:v>37.801999999999964</c:v>
                </c:pt>
                <c:pt idx="95">
                  <c:v>38.034999999999961</c:v>
                </c:pt>
                <c:pt idx="96">
                  <c:v>38.267999999999958</c:v>
                </c:pt>
                <c:pt idx="97">
                  <c:v>38.500999999999955</c:v>
                </c:pt>
                <c:pt idx="98">
                  <c:v>38.733999999999952</c:v>
                </c:pt>
                <c:pt idx="99">
                  <c:v>38.966999999999949</c:v>
                </c:pt>
                <c:pt idx="100">
                  <c:v>39.199999999999946</c:v>
                </c:pt>
              </c:numCache>
            </c:numRef>
          </c:xVal>
          <c:yVal>
            <c:numRef>
              <c:f>Corrección!$L$732:$L$832</c:f>
              <c:numCache>
                <c:formatCode>0.0000</c:formatCode>
                <c:ptCount val="101"/>
                <c:pt idx="0">
                  <c:v>-5.616063462975901E-2</c:v>
                </c:pt>
                <c:pt idx="1">
                  <c:v>-5.0731290237021609E-2</c:v>
                </c:pt>
                <c:pt idx="2">
                  <c:v>-4.5301945844284153E-2</c:v>
                </c:pt>
                <c:pt idx="3">
                  <c:v>-3.9872601451546696E-2</c:v>
                </c:pt>
                <c:pt idx="4">
                  <c:v>-3.444325705880924E-2</c:v>
                </c:pt>
                <c:pt idx="5">
                  <c:v>-2.9013912666071784E-2</c:v>
                </c:pt>
                <c:pt idx="6">
                  <c:v>-2.3584568273334328E-2</c:v>
                </c:pt>
                <c:pt idx="7">
                  <c:v>-1.8155223880596871E-2</c:v>
                </c:pt>
                <c:pt idx="8">
                  <c:v>-1.2725879487859415E-2</c:v>
                </c:pt>
                <c:pt idx="9">
                  <c:v>-7.2965350951219587E-3</c:v>
                </c:pt>
                <c:pt idx="10">
                  <c:v>-1.8671907023845025E-3</c:v>
                </c:pt>
                <c:pt idx="11">
                  <c:v>3.5621536903529538E-3</c:v>
                </c:pt>
                <c:pt idx="12">
                  <c:v>8.9914980830904101E-3</c:v>
                </c:pt>
                <c:pt idx="13">
                  <c:v>1.4420842475827866E-2</c:v>
                </c:pt>
                <c:pt idx="14">
                  <c:v>1.9850186868565323E-2</c:v>
                </c:pt>
                <c:pt idx="15">
                  <c:v>2.5279531261302779E-2</c:v>
                </c:pt>
                <c:pt idx="16">
                  <c:v>3.0708875654040235E-2</c:v>
                </c:pt>
                <c:pt idx="17">
                  <c:v>3.6138220046777692E-2</c:v>
                </c:pt>
                <c:pt idx="18">
                  <c:v>4.1567564439515148E-2</c:v>
                </c:pt>
                <c:pt idx="19">
                  <c:v>4.6996908832252604E-2</c:v>
                </c:pt>
                <c:pt idx="20">
                  <c:v>5.242625322499006E-2</c:v>
                </c:pt>
                <c:pt idx="21">
                  <c:v>5.7855597617727517E-2</c:v>
                </c:pt>
                <c:pt idx="22">
                  <c:v>6.3284942010464973E-2</c:v>
                </c:pt>
                <c:pt idx="23">
                  <c:v>6.8714286403202429E-2</c:v>
                </c:pt>
                <c:pt idx="24">
                  <c:v>7.4143630795939885E-2</c:v>
                </c:pt>
                <c:pt idx="25">
                  <c:v>7.9572975188677342E-2</c:v>
                </c:pt>
                <c:pt idx="26">
                  <c:v>8.5002319581414798E-2</c:v>
                </c:pt>
                <c:pt idx="27">
                  <c:v>9.0431663974152254E-2</c:v>
                </c:pt>
                <c:pt idx="28">
                  <c:v>9.5861008366889711E-2</c:v>
                </c:pt>
                <c:pt idx="29">
                  <c:v>0.10129035275962717</c:v>
                </c:pt>
                <c:pt idx="30">
                  <c:v>0.10671969715236462</c:v>
                </c:pt>
                <c:pt idx="31">
                  <c:v>0.11214904154510208</c:v>
                </c:pt>
                <c:pt idx="32">
                  <c:v>0.11757838593783954</c:v>
                </c:pt>
                <c:pt idx="33">
                  <c:v>0.12300773033057699</c:v>
                </c:pt>
                <c:pt idx="34">
                  <c:v>0.12843707472331445</c:v>
                </c:pt>
                <c:pt idx="35">
                  <c:v>0.1338664191160519</c:v>
                </c:pt>
                <c:pt idx="36">
                  <c:v>0.13929576350878936</c:v>
                </c:pt>
                <c:pt idx="37">
                  <c:v>0.14472510790152682</c:v>
                </c:pt>
                <c:pt idx="38">
                  <c:v>0.15015445229426427</c:v>
                </c:pt>
                <c:pt idx="39">
                  <c:v>0.15558379668700173</c:v>
                </c:pt>
                <c:pt idx="40">
                  <c:v>0.16101314107973919</c:v>
                </c:pt>
                <c:pt idx="41">
                  <c:v>0.16644248547247664</c:v>
                </c:pt>
                <c:pt idx="42">
                  <c:v>0.1718718298652141</c:v>
                </c:pt>
                <c:pt idx="43">
                  <c:v>0.17730117425795155</c:v>
                </c:pt>
                <c:pt idx="44">
                  <c:v>0.18273051865068901</c:v>
                </c:pt>
                <c:pt idx="45">
                  <c:v>0.18815986304342647</c:v>
                </c:pt>
                <c:pt idx="46">
                  <c:v>0.19358920743616392</c:v>
                </c:pt>
                <c:pt idx="47">
                  <c:v>0.19901855182890138</c:v>
                </c:pt>
                <c:pt idx="48">
                  <c:v>0.20444789622163873</c:v>
                </c:pt>
                <c:pt idx="49">
                  <c:v>0.20987724061437618</c:v>
                </c:pt>
                <c:pt idx="50">
                  <c:v>0.21530658500711364</c:v>
                </c:pt>
                <c:pt idx="51">
                  <c:v>0.22073592939985109</c:v>
                </c:pt>
                <c:pt idx="52">
                  <c:v>0.22616527379258855</c:v>
                </c:pt>
                <c:pt idx="53">
                  <c:v>0.23159461818532601</c:v>
                </c:pt>
                <c:pt idx="54">
                  <c:v>0.23702396257806346</c:v>
                </c:pt>
                <c:pt idx="55">
                  <c:v>0.24245330697080092</c:v>
                </c:pt>
                <c:pt idx="56">
                  <c:v>0.24788265136353838</c:v>
                </c:pt>
                <c:pt idx="57">
                  <c:v>0.25331199575627583</c:v>
                </c:pt>
                <c:pt idx="58">
                  <c:v>0.25874134014901329</c:v>
                </c:pt>
                <c:pt idx="59">
                  <c:v>0.26417068454175074</c:v>
                </c:pt>
                <c:pt idx="60">
                  <c:v>0.2696000289344882</c:v>
                </c:pt>
                <c:pt idx="61">
                  <c:v>0.27502937332722566</c:v>
                </c:pt>
                <c:pt idx="62">
                  <c:v>0.28045871771996311</c:v>
                </c:pt>
                <c:pt idx="63">
                  <c:v>0.28588806211270057</c:v>
                </c:pt>
                <c:pt idx="64">
                  <c:v>0.29131740650543803</c:v>
                </c:pt>
                <c:pt idx="65">
                  <c:v>0.29674675089817548</c:v>
                </c:pt>
                <c:pt idx="66">
                  <c:v>0.30217609529091294</c:v>
                </c:pt>
                <c:pt idx="67">
                  <c:v>0.30760543968365039</c:v>
                </c:pt>
                <c:pt idx="68">
                  <c:v>0.31303478407638785</c:v>
                </c:pt>
                <c:pt idx="69">
                  <c:v>0.31846412846912531</c:v>
                </c:pt>
                <c:pt idx="70">
                  <c:v>0.32389347286186276</c:v>
                </c:pt>
                <c:pt idx="71">
                  <c:v>0.32932281725460011</c:v>
                </c:pt>
                <c:pt idx="72">
                  <c:v>0.33475216164733756</c:v>
                </c:pt>
                <c:pt idx="73">
                  <c:v>0.34018150604007491</c:v>
                </c:pt>
                <c:pt idx="74">
                  <c:v>0.34561085043281226</c:v>
                </c:pt>
                <c:pt idx="75">
                  <c:v>0.3510401948255496</c:v>
                </c:pt>
                <c:pt idx="76">
                  <c:v>0.35646953921828706</c:v>
                </c:pt>
                <c:pt idx="77">
                  <c:v>0.3618988836110244</c:v>
                </c:pt>
                <c:pt idx="78">
                  <c:v>0.36732822800376175</c:v>
                </c:pt>
                <c:pt idx="79">
                  <c:v>0.37275757239649909</c:v>
                </c:pt>
                <c:pt idx="80">
                  <c:v>0.37818691678923655</c:v>
                </c:pt>
                <c:pt idx="81">
                  <c:v>0.38361626118197389</c:v>
                </c:pt>
                <c:pt idx="82">
                  <c:v>0.38904560557471124</c:v>
                </c:pt>
                <c:pt idx="83">
                  <c:v>0.39447494996744858</c:v>
                </c:pt>
                <c:pt idx="84">
                  <c:v>0.39990429436018593</c:v>
                </c:pt>
                <c:pt idx="85">
                  <c:v>0.40533363875292339</c:v>
                </c:pt>
                <c:pt idx="86">
                  <c:v>0.41076298314566073</c:v>
                </c:pt>
                <c:pt idx="87">
                  <c:v>0.41619232753839808</c:v>
                </c:pt>
                <c:pt idx="88">
                  <c:v>0.42162167193113542</c:v>
                </c:pt>
                <c:pt idx="89">
                  <c:v>0.42705101632387288</c:v>
                </c:pt>
                <c:pt idx="90">
                  <c:v>0.43248036071661022</c:v>
                </c:pt>
                <c:pt idx="91">
                  <c:v>0.43790970510934757</c:v>
                </c:pt>
                <c:pt idx="92">
                  <c:v>0.44333904950208491</c:v>
                </c:pt>
                <c:pt idx="93">
                  <c:v>0.44876839389482237</c:v>
                </c:pt>
                <c:pt idx="94">
                  <c:v>0.45419773828755972</c:v>
                </c:pt>
                <c:pt idx="95">
                  <c:v>0.45962708268029706</c:v>
                </c:pt>
                <c:pt idx="96">
                  <c:v>0.46505642707303441</c:v>
                </c:pt>
                <c:pt idx="97">
                  <c:v>0.47048577146577186</c:v>
                </c:pt>
                <c:pt idx="98">
                  <c:v>0.47591511585850921</c:v>
                </c:pt>
                <c:pt idx="99">
                  <c:v>0.48134446025124655</c:v>
                </c:pt>
                <c:pt idx="100">
                  <c:v>0.4867738046439839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B3-45F1-915F-7ABBC44727AD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Corrección!$E$505:$E$507</c:f>
                <c:numCache>
                  <c:formatCode>General</c:formatCode>
                  <c:ptCount val="3"/>
                  <c:pt idx="0">
                    <c:v>0.52</c:v>
                  </c:pt>
                  <c:pt idx="1">
                    <c:v>0.52</c:v>
                  </c:pt>
                  <c:pt idx="2">
                    <c:v>0.52</c:v>
                  </c:pt>
                </c:numCache>
              </c:numRef>
            </c:plus>
            <c:minus>
              <c:numRef>
                <c:f>Corrección!$E$505:$E$507</c:f>
                <c:numCache>
                  <c:formatCode>General</c:formatCode>
                  <c:ptCount val="3"/>
                  <c:pt idx="0">
                    <c:v>0.52</c:v>
                  </c:pt>
                  <c:pt idx="1">
                    <c:v>0.52</c:v>
                  </c:pt>
                  <c:pt idx="2">
                    <c:v>0.52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Corrección!$C$505:$C$507</c:f>
              <c:numCache>
                <c:formatCode>General</c:formatCode>
                <c:ptCount val="3"/>
                <c:pt idx="0">
                  <c:v>15.9</c:v>
                </c:pt>
                <c:pt idx="1">
                  <c:v>30.3</c:v>
                </c:pt>
                <c:pt idx="2">
                  <c:v>39.200000000000003</c:v>
                </c:pt>
              </c:numCache>
            </c:numRef>
          </c:xVal>
          <c:yVal>
            <c:numRef>
              <c:f>Corrección!$D$505:$D$507</c:f>
              <c:numCache>
                <c:formatCode>General</c:formatCode>
                <c:ptCount val="3"/>
                <c:pt idx="0">
                  <c:v>0.02</c:v>
                </c:pt>
                <c:pt idx="1">
                  <c:v>0.08</c:v>
                </c:pt>
                <c:pt idx="2">
                  <c:v>0.61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B3-45F1-915F-7ABBC44727AD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xVal>
            <c:numRef>
              <c:f>Corrección!$E$519:$E$520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Corrección!$F$519:$F$520</c:f>
              <c:numCache>
                <c:formatCode>0.0000</c:formatCode>
                <c:ptCount val="2"/>
                <c:pt idx="0">
                  <c:v>-0.42666096014274324</c:v>
                </c:pt>
                <c:pt idx="1">
                  <c:v>-0.42666096014274324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B3-45F1-915F-7ABBC4472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rgbClr val="002060"/>
                    </a:solidFill>
                  </a:rPr>
                  <a:t> [°C]</a:t>
                </a: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Corrección a la indicación, [°C]</a:t>
                </a:r>
              </a:p>
              <a:p>
                <a:pPr>
                  <a:defRPr sz="1100">
                    <a:solidFill>
                      <a:srgbClr val="002060"/>
                    </a:solidFill>
                  </a:defRPr>
                </a:pP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i="0">
                <a:solidFill>
                  <a:schemeClr val="tx1"/>
                </a:solidFill>
              </a:rPr>
              <a:t>Curva</a:t>
            </a:r>
            <a:r>
              <a:rPr lang="en-US" i="0" baseline="0">
                <a:solidFill>
                  <a:schemeClr val="tx1"/>
                </a:solidFill>
              </a:rPr>
              <a:t> de r</a:t>
            </a:r>
            <a:r>
              <a:rPr lang="en-US" i="0">
                <a:solidFill>
                  <a:schemeClr val="tx1"/>
                </a:solidFill>
              </a:rPr>
              <a:t>egresión</a:t>
            </a:r>
            <a:r>
              <a:rPr lang="en-US" i="0" baseline="0">
                <a:solidFill>
                  <a:schemeClr val="tx1"/>
                </a:solidFill>
              </a:rPr>
              <a:t> de los resultados de calibración P004-5 (h.rel)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Corrección!$M$732:$M$832</c:f>
              <c:numCache>
                <c:formatCode>0.0000</c:formatCode>
                <c:ptCount val="101"/>
                <c:pt idx="0">
                  <c:v>25.2</c:v>
                </c:pt>
                <c:pt idx="1">
                  <c:v>25.797000000000001</c:v>
                </c:pt>
                <c:pt idx="2">
                  <c:v>26.394000000000002</c:v>
                </c:pt>
                <c:pt idx="3">
                  <c:v>26.991000000000003</c:v>
                </c:pt>
                <c:pt idx="4">
                  <c:v>27.588000000000005</c:v>
                </c:pt>
                <c:pt idx="5">
                  <c:v>28.185000000000006</c:v>
                </c:pt>
                <c:pt idx="6">
                  <c:v>28.782000000000007</c:v>
                </c:pt>
                <c:pt idx="7">
                  <c:v>29.379000000000008</c:v>
                </c:pt>
                <c:pt idx="8">
                  <c:v>29.97600000000001</c:v>
                </c:pt>
                <c:pt idx="9">
                  <c:v>30.573000000000011</c:v>
                </c:pt>
                <c:pt idx="10">
                  <c:v>31.170000000000012</c:v>
                </c:pt>
                <c:pt idx="11">
                  <c:v>31.767000000000014</c:v>
                </c:pt>
                <c:pt idx="12">
                  <c:v>32.364000000000011</c:v>
                </c:pt>
                <c:pt idx="13">
                  <c:v>32.961000000000013</c:v>
                </c:pt>
                <c:pt idx="14">
                  <c:v>33.558000000000014</c:v>
                </c:pt>
                <c:pt idx="15">
                  <c:v>34.155000000000015</c:v>
                </c:pt>
                <c:pt idx="16">
                  <c:v>34.752000000000017</c:v>
                </c:pt>
                <c:pt idx="17">
                  <c:v>35.349000000000018</c:v>
                </c:pt>
                <c:pt idx="18">
                  <c:v>35.946000000000019</c:v>
                </c:pt>
                <c:pt idx="19">
                  <c:v>36.543000000000021</c:v>
                </c:pt>
                <c:pt idx="20">
                  <c:v>37.140000000000022</c:v>
                </c:pt>
                <c:pt idx="21">
                  <c:v>37.737000000000023</c:v>
                </c:pt>
                <c:pt idx="22">
                  <c:v>38.334000000000024</c:v>
                </c:pt>
                <c:pt idx="23">
                  <c:v>38.931000000000026</c:v>
                </c:pt>
                <c:pt idx="24">
                  <c:v>39.528000000000027</c:v>
                </c:pt>
                <c:pt idx="25">
                  <c:v>40.125000000000028</c:v>
                </c:pt>
                <c:pt idx="26">
                  <c:v>40.72200000000003</c:v>
                </c:pt>
                <c:pt idx="27">
                  <c:v>41.319000000000031</c:v>
                </c:pt>
                <c:pt idx="28">
                  <c:v>41.916000000000032</c:v>
                </c:pt>
                <c:pt idx="29">
                  <c:v>42.513000000000034</c:v>
                </c:pt>
                <c:pt idx="30">
                  <c:v>43.110000000000035</c:v>
                </c:pt>
                <c:pt idx="31">
                  <c:v>43.707000000000036</c:v>
                </c:pt>
                <c:pt idx="32">
                  <c:v>44.304000000000038</c:v>
                </c:pt>
                <c:pt idx="33">
                  <c:v>44.901000000000039</c:v>
                </c:pt>
                <c:pt idx="34">
                  <c:v>45.49800000000004</c:v>
                </c:pt>
                <c:pt idx="35">
                  <c:v>46.095000000000041</c:v>
                </c:pt>
                <c:pt idx="36">
                  <c:v>46.692000000000043</c:v>
                </c:pt>
                <c:pt idx="37">
                  <c:v>47.289000000000044</c:v>
                </c:pt>
                <c:pt idx="38">
                  <c:v>47.886000000000045</c:v>
                </c:pt>
                <c:pt idx="39">
                  <c:v>48.483000000000047</c:v>
                </c:pt>
                <c:pt idx="40">
                  <c:v>49.080000000000048</c:v>
                </c:pt>
                <c:pt idx="41">
                  <c:v>49.677000000000049</c:v>
                </c:pt>
                <c:pt idx="42">
                  <c:v>50.274000000000051</c:v>
                </c:pt>
                <c:pt idx="43">
                  <c:v>50.871000000000052</c:v>
                </c:pt>
                <c:pt idx="44">
                  <c:v>51.468000000000053</c:v>
                </c:pt>
                <c:pt idx="45">
                  <c:v>52.065000000000055</c:v>
                </c:pt>
                <c:pt idx="46">
                  <c:v>52.662000000000056</c:v>
                </c:pt>
                <c:pt idx="47">
                  <c:v>53.259000000000057</c:v>
                </c:pt>
                <c:pt idx="48">
                  <c:v>53.856000000000058</c:v>
                </c:pt>
                <c:pt idx="49">
                  <c:v>54.45300000000006</c:v>
                </c:pt>
                <c:pt idx="50">
                  <c:v>55.050000000000061</c:v>
                </c:pt>
                <c:pt idx="51">
                  <c:v>55.647000000000062</c:v>
                </c:pt>
                <c:pt idx="52">
                  <c:v>56.244000000000064</c:v>
                </c:pt>
                <c:pt idx="53">
                  <c:v>56.841000000000065</c:v>
                </c:pt>
                <c:pt idx="54">
                  <c:v>57.438000000000066</c:v>
                </c:pt>
                <c:pt idx="55">
                  <c:v>58.035000000000068</c:v>
                </c:pt>
                <c:pt idx="56">
                  <c:v>58.632000000000069</c:v>
                </c:pt>
                <c:pt idx="57">
                  <c:v>59.22900000000007</c:v>
                </c:pt>
                <c:pt idx="58">
                  <c:v>59.826000000000072</c:v>
                </c:pt>
                <c:pt idx="59">
                  <c:v>60.423000000000073</c:v>
                </c:pt>
                <c:pt idx="60">
                  <c:v>61.020000000000074</c:v>
                </c:pt>
                <c:pt idx="61">
                  <c:v>61.617000000000075</c:v>
                </c:pt>
                <c:pt idx="62">
                  <c:v>62.214000000000077</c:v>
                </c:pt>
                <c:pt idx="63">
                  <c:v>62.811000000000078</c:v>
                </c:pt>
                <c:pt idx="64">
                  <c:v>63.408000000000079</c:v>
                </c:pt>
                <c:pt idx="65">
                  <c:v>64.005000000000081</c:v>
                </c:pt>
                <c:pt idx="66">
                  <c:v>64.602000000000075</c:v>
                </c:pt>
                <c:pt idx="67">
                  <c:v>65.199000000000069</c:v>
                </c:pt>
                <c:pt idx="68">
                  <c:v>65.796000000000063</c:v>
                </c:pt>
                <c:pt idx="69">
                  <c:v>66.393000000000058</c:v>
                </c:pt>
                <c:pt idx="70">
                  <c:v>66.990000000000052</c:v>
                </c:pt>
                <c:pt idx="71">
                  <c:v>67.587000000000046</c:v>
                </c:pt>
                <c:pt idx="72">
                  <c:v>68.18400000000004</c:v>
                </c:pt>
                <c:pt idx="73">
                  <c:v>68.781000000000034</c:v>
                </c:pt>
                <c:pt idx="74">
                  <c:v>69.378000000000029</c:v>
                </c:pt>
                <c:pt idx="75">
                  <c:v>69.975000000000023</c:v>
                </c:pt>
                <c:pt idx="76">
                  <c:v>70.572000000000017</c:v>
                </c:pt>
                <c:pt idx="77">
                  <c:v>71.169000000000011</c:v>
                </c:pt>
                <c:pt idx="78">
                  <c:v>71.766000000000005</c:v>
                </c:pt>
                <c:pt idx="79">
                  <c:v>72.363</c:v>
                </c:pt>
                <c:pt idx="80">
                  <c:v>72.959999999999994</c:v>
                </c:pt>
                <c:pt idx="81">
                  <c:v>73.556999999999988</c:v>
                </c:pt>
                <c:pt idx="82">
                  <c:v>74.153999999999982</c:v>
                </c:pt>
                <c:pt idx="83">
                  <c:v>74.750999999999976</c:v>
                </c:pt>
                <c:pt idx="84">
                  <c:v>75.347999999999971</c:v>
                </c:pt>
                <c:pt idx="85">
                  <c:v>75.944999999999965</c:v>
                </c:pt>
                <c:pt idx="86">
                  <c:v>76.541999999999959</c:v>
                </c:pt>
                <c:pt idx="87">
                  <c:v>77.138999999999953</c:v>
                </c:pt>
                <c:pt idx="88">
                  <c:v>77.735999999999947</c:v>
                </c:pt>
                <c:pt idx="89">
                  <c:v>78.332999999999942</c:v>
                </c:pt>
                <c:pt idx="90">
                  <c:v>78.929999999999936</c:v>
                </c:pt>
                <c:pt idx="91">
                  <c:v>79.52699999999993</c:v>
                </c:pt>
                <c:pt idx="92">
                  <c:v>80.123999999999924</c:v>
                </c:pt>
                <c:pt idx="93">
                  <c:v>80.720999999999918</c:v>
                </c:pt>
                <c:pt idx="94">
                  <c:v>81.317999999999913</c:v>
                </c:pt>
                <c:pt idx="95">
                  <c:v>81.914999999999907</c:v>
                </c:pt>
                <c:pt idx="96">
                  <c:v>82.511999999999901</c:v>
                </c:pt>
                <c:pt idx="97">
                  <c:v>83.108999999999895</c:v>
                </c:pt>
                <c:pt idx="98">
                  <c:v>83.705999999999889</c:v>
                </c:pt>
                <c:pt idx="99">
                  <c:v>84.302999999999884</c:v>
                </c:pt>
                <c:pt idx="100">
                  <c:v>84.899999999999878</c:v>
                </c:pt>
              </c:numCache>
            </c:numRef>
          </c:xVal>
          <c:yVal>
            <c:numRef>
              <c:f>Corrección!$N$732:$N$832</c:f>
              <c:numCache>
                <c:formatCode>0.0000</c:formatCode>
                <c:ptCount val="101"/>
                <c:pt idx="0">
                  <c:v>-4.8722593330517325</c:v>
                </c:pt>
                <c:pt idx="1">
                  <c:v>-4.8767415696946372</c:v>
                </c:pt>
                <c:pt idx="2">
                  <c:v>-4.8812238063375428</c:v>
                </c:pt>
                <c:pt idx="3">
                  <c:v>-4.8857060429804475</c:v>
                </c:pt>
                <c:pt idx="4">
                  <c:v>-4.8901882796233522</c:v>
                </c:pt>
                <c:pt idx="5">
                  <c:v>-4.8946705162662569</c:v>
                </c:pt>
                <c:pt idx="6">
                  <c:v>-4.8991527529091625</c:v>
                </c:pt>
                <c:pt idx="7">
                  <c:v>-4.9036349895520672</c:v>
                </c:pt>
                <c:pt idx="8">
                  <c:v>-4.9081172261949719</c:v>
                </c:pt>
                <c:pt idx="9">
                  <c:v>-4.9125994628378766</c:v>
                </c:pt>
                <c:pt idx="10">
                  <c:v>-4.9170816994807822</c:v>
                </c:pt>
                <c:pt idx="11">
                  <c:v>-4.9215639361236869</c:v>
                </c:pt>
                <c:pt idx="12">
                  <c:v>-4.9260461727665916</c:v>
                </c:pt>
                <c:pt idx="13">
                  <c:v>-4.9305284094094963</c:v>
                </c:pt>
                <c:pt idx="14">
                  <c:v>-4.9350106460524019</c:v>
                </c:pt>
                <c:pt idx="15">
                  <c:v>-4.9394928826953066</c:v>
                </c:pt>
                <c:pt idx="16">
                  <c:v>-4.9439751193382113</c:v>
                </c:pt>
                <c:pt idx="17">
                  <c:v>-4.9484573559811169</c:v>
                </c:pt>
                <c:pt idx="18">
                  <c:v>-4.9529395926240216</c:v>
                </c:pt>
                <c:pt idx="19">
                  <c:v>-4.9574218292669263</c:v>
                </c:pt>
                <c:pt idx="20">
                  <c:v>-4.961904065909831</c:v>
                </c:pt>
                <c:pt idx="21">
                  <c:v>-4.9663863025527366</c:v>
                </c:pt>
                <c:pt idx="22">
                  <c:v>-4.9708685391956413</c:v>
                </c:pt>
                <c:pt idx="23">
                  <c:v>-4.975350775838546</c:v>
                </c:pt>
                <c:pt idx="24">
                  <c:v>-4.9798330124814507</c:v>
                </c:pt>
                <c:pt idx="25">
                  <c:v>-4.9843152491243563</c:v>
                </c:pt>
                <c:pt idx="26">
                  <c:v>-4.988797485767261</c:v>
                </c:pt>
                <c:pt idx="27">
                  <c:v>-4.9932797224101657</c:v>
                </c:pt>
                <c:pt idx="28">
                  <c:v>-4.9977619590530704</c:v>
                </c:pt>
                <c:pt idx="29">
                  <c:v>-5.002244195695976</c:v>
                </c:pt>
                <c:pt idx="30">
                  <c:v>-5.0067264323388807</c:v>
                </c:pt>
                <c:pt idx="31">
                  <c:v>-5.0112086689817854</c:v>
                </c:pt>
                <c:pt idx="32">
                  <c:v>-5.015690905624691</c:v>
                </c:pt>
                <c:pt idx="33">
                  <c:v>-5.0201731422675957</c:v>
                </c:pt>
                <c:pt idx="34">
                  <c:v>-5.0246553789105004</c:v>
                </c:pt>
                <c:pt idx="35">
                  <c:v>-5.0291376155534051</c:v>
                </c:pt>
                <c:pt idx="36">
                  <c:v>-5.0336198521963107</c:v>
                </c:pt>
                <c:pt idx="37">
                  <c:v>-5.0381020888392154</c:v>
                </c:pt>
                <c:pt idx="38">
                  <c:v>-5.0425843254821201</c:v>
                </c:pt>
                <c:pt idx="39">
                  <c:v>-5.0470665621250248</c:v>
                </c:pt>
                <c:pt idx="40">
                  <c:v>-5.0515487987679304</c:v>
                </c:pt>
                <c:pt idx="41">
                  <c:v>-5.0560310354108351</c:v>
                </c:pt>
                <c:pt idx="42">
                  <c:v>-5.0605132720537398</c:v>
                </c:pt>
                <c:pt idx="43">
                  <c:v>-5.0649955086966445</c:v>
                </c:pt>
                <c:pt idx="44">
                  <c:v>-5.0694777453395501</c:v>
                </c:pt>
                <c:pt idx="45">
                  <c:v>-5.0739599819824548</c:v>
                </c:pt>
                <c:pt idx="46">
                  <c:v>-5.0784422186253595</c:v>
                </c:pt>
                <c:pt idx="47">
                  <c:v>-5.0829244552682642</c:v>
                </c:pt>
                <c:pt idx="48">
                  <c:v>-5.0874066919111698</c:v>
                </c:pt>
                <c:pt idx="49">
                  <c:v>-5.0918889285540745</c:v>
                </c:pt>
                <c:pt idx="50">
                  <c:v>-5.0963711651969792</c:v>
                </c:pt>
                <c:pt idx="51">
                  <c:v>-5.1008534018398848</c:v>
                </c:pt>
                <c:pt idx="52">
                  <c:v>-5.1053356384827895</c:v>
                </c:pt>
                <c:pt idx="53">
                  <c:v>-5.1098178751256942</c:v>
                </c:pt>
                <c:pt idx="54">
                  <c:v>-5.1143001117685989</c:v>
                </c:pt>
                <c:pt idx="55">
                  <c:v>-5.1187823484115045</c:v>
                </c:pt>
                <c:pt idx="56">
                  <c:v>-5.1232645850544092</c:v>
                </c:pt>
                <c:pt idx="57">
                  <c:v>-5.1277468216973139</c:v>
                </c:pt>
                <c:pt idx="58">
                  <c:v>-5.1322290583402186</c:v>
                </c:pt>
                <c:pt idx="59">
                  <c:v>-5.1367112949831242</c:v>
                </c:pt>
                <c:pt idx="60">
                  <c:v>-5.1411935316260289</c:v>
                </c:pt>
                <c:pt idx="61">
                  <c:v>-5.1456757682689336</c:v>
                </c:pt>
                <c:pt idx="62">
                  <c:v>-5.1501580049118392</c:v>
                </c:pt>
                <c:pt idx="63">
                  <c:v>-5.1546402415547439</c:v>
                </c:pt>
                <c:pt idx="64">
                  <c:v>-5.1591224781976486</c:v>
                </c:pt>
                <c:pt idx="65">
                  <c:v>-5.1636047148405533</c:v>
                </c:pt>
                <c:pt idx="66">
                  <c:v>-5.168086951483458</c:v>
                </c:pt>
                <c:pt idx="67">
                  <c:v>-5.1725691881263636</c:v>
                </c:pt>
                <c:pt idx="68">
                  <c:v>-5.1770514247692683</c:v>
                </c:pt>
                <c:pt idx="69">
                  <c:v>-5.181533661412173</c:v>
                </c:pt>
                <c:pt idx="70">
                  <c:v>-5.1860158980550777</c:v>
                </c:pt>
                <c:pt idx="71">
                  <c:v>-5.1904981346979824</c:v>
                </c:pt>
                <c:pt idx="72">
                  <c:v>-5.194980371340888</c:v>
                </c:pt>
                <c:pt idx="73">
                  <c:v>-5.1994626079837927</c:v>
                </c:pt>
                <c:pt idx="74">
                  <c:v>-5.2039448446266974</c:v>
                </c:pt>
                <c:pt idx="75">
                  <c:v>-5.2084270812696021</c:v>
                </c:pt>
                <c:pt idx="76">
                  <c:v>-5.2129093179125068</c:v>
                </c:pt>
                <c:pt idx="77">
                  <c:v>-5.2173915545554124</c:v>
                </c:pt>
                <c:pt idx="78">
                  <c:v>-5.2218737911983171</c:v>
                </c:pt>
                <c:pt idx="79">
                  <c:v>-5.2263560278412218</c:v>
                </c:pt>
                <c:pt idx="80">
                  <c:v>-5.2308382644841265</c:v>
                </c:pt>
                <c:pt idx="81">
                  <c:v>-5.2353205011270312</c:v>
                </c:pt>
                <c:pt idx="82">
                  <c:v>-5.2398027377699368</c:v>
                </c:pt>
                <c:pt idx="83">
                  <c:v>-5.2442849744128415</c:v>
                </c:pt>
                <c:pt idx="84">
                  <c:v>-5.2487672110557462</c:v>
                </c:pt>
                <c:pt idx="85">
                  <c:v>-5.2532494476986509</c:v>
                </c:pt>
                <c:pt idx="86">
                  <c:v>-5.2577316843415565</c:v>
                </c:pt>
                <c:pt idx="87">
                  <c:v>-5.2622139209844612</c:v>
                </c:pt>
                <c:pt idx="88">
                  <c:v>-5.2666961576273659</c:v>
                </c:pt>
                <c:pt idx="89">
                  <c:v>-5.2711783942702706</c:v>
                </c:pt>
                <c:pt idx="90">
                  <c:v>-5.2756606309131753</c:v>
                </c:pt>
                <c:pt idx="91">
                  <c:v>-5.2801428675560809</c:v>
                </c:pt>
                <c:pt idx="92">
                  <c:v>-5.2846251041989856</c:v>
                </c:pt>
                <c:pt idx="93">
                  <c:v>-5.2891073408418903</c:v>
                </c:pt>
                <c:pt idx="94">
                  <c:v>-5.293589577484795</c:v>
                </c:pt>
                <c:pt idx="95">
                  <c:v>-5.2980718141276997</c:v>
                </c:pt>
                <c:pt idx="96">
                  <c:v>-5.3025540507706053</c:v>
                </c:pt>
                <c:pt idx="97">
                  <c:v>-5.30703628741351</c:v>
                </c:pt>
                <c:pt idx="98">
                  <c:v>-5.3115185240564147</c:v>
                </c:pt>
                <c:pt idx="99">
                  <c:v>-5.3160007606993194</c:v>
                </c:pt>
                <c:pt idx="100">
                  <c:v>-5.320482997342225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57-4126-938E-79FE5BB7B4E9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Corrección!$L$505:$L$507</c:f>
                <c:numCache>
                  <c:formatCode>General</c:formatCode>
                  <c:ptCount val="3"/>
                  <c:pt idx="0">
                    <c:v>1.6</c:v>
                  </c:pt>
                  <c:pt idx="1">
                    <c:v>1.6</c:v>
                  </c:pt>
                  <c:pt idx="2">
                    <c:v>1.6</c:v>
                  </c:pt>
                </c:numCache>
              </c:numRef>
            </c:plus>
            <c:minus>
              <c:numRef>
                <c:f>Corrección!$L$505:$L$507</c:f>
                <c:numCache>
                  <c:formatCode>General</c:formatCode>
                  <c:ptCount val="3"/>
                  <c:pt idx="0">
                    <c:v>1.6</c:v>
                  </c:pt>
                  <c:pt idx="1">
                    <c:v>1.6</c:v>
                  </c:pt>
                  <c:pt idx="2">
                    <c:v>1.6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Corrección!$J$505:$J$507</c:f>
              <c:numCache>
                <c:formatCode>General</c:formatCode>
                <c:ptCount val="3"/>
                <c:pt idx="0">
                  <c:v>25.2</c:v>
                </c:pt>
                <c:pt idx="1">
                  <c:v>56.5</c:v>
                </c:pt>
                <c:pt idx="2">
                  <c:v>84.9</c:v>
                </c:pt>
              </c:numCache>
            </c:numRef>
          </c:xVal>
          <c:yVal>
            <c:numRef>
              <c:f>Corrección!$K$505:$K$507</c:f>
              <c:numCache>
                <c:formatCode>General</c:formatCode>
                <c:ptCount val="3"/>
                <c:pt idx="0">
                  <c:v>-4.4000000000000004</c:v>
                </c:pt>
                <c:pt idx="1">
                  <c:v>-6.1</c:v>
                </c:pt>
                <c:pt idx="2">
                  <c:v>-4.8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57-4126-938E-79FE5BB7B4E9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xVal>
            <c:numRef>
              <c:f>Corrección!$L$519:$L$520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Corrección!$M$519:$M$520</c:f>
              <c:numCache>
                <c:formatCode>0.0000</c:formatCode>
                <c:ptCount val="2"/>
                <c:pt idx="0">
                  <c:v>-4.6830593943562482</c:v>
                </c:pt>
                <c:pt idx="1">
                  <c:v>-4.6830593943562482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57-4126-938E-79FE5BB7B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rgbClr val="002060"/>
                    </a:solidFill>
                  </a:rPr>
                  <a:t> [%hr]</a:t>
                </a: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Corrección a la indicación, [%hr]</a:t>
                </a:r>
              </a:p>
              <a:p>
                <a:pPr>
                  <a:defRPr sz="1100">
                    <a:solidFill>
                      <a:srgbClr val="002060"/>
                    </a:solidFill>
                  </a:defRPr>
                </a:pP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Corrección!$C$626:$C$726</c:f>
              <c:numCache>
                <c:formatCode>0.0000</c:formatCode>
                <c:ptCount val="101"/>
                <c:pt idx="0">
                  <c:v>-10</c:v>
                </c:pt>
                <c:pt idx="1">
                  <c:v>-9.75</c:v>
                </c:pt>
                <c:pt idx="2">
                  <c:v>-9.5</c:v>
                </c:pt>
                <c:pt idx="3">
                  <c:v>-9.25</c:v>
                </c:pt>
                <c:pt idx="4">
                  <c:v>-9</c:v>
                </c:pt>
                <c:pt idx="5">
                  <c:v>-8.75</c:v>
                </c:pt>
                <c:pt idx="6">
                  <c:v>-8.5</c:v>
                </c:pt>
                <c:pt idx="7">
                  <c:v>-8.25</c:v>
                </c:pt>
                <c:pt idx="8">
                  <c:v>-8</c:v>
                </c:pt>
                <c:pt idx="9">
                  <c:v>-7.75</c:v>
                </c:pt>
                <c:pt idx="10">
                  <c:v>-7.5</c:v>
                </c:pt>
                <c:pt idx="11">
                  <c:v>-7.25</c:v>
                </c:pt>
                <c:pt idx="12">
                  <c:v>-7</c:v>
                </c:pt>
                <c:pt idx="13">
                  <c:v>-6.75</c:v>
                </c:pt>
                <c:pt idx="14">
                  <c:v>-6.5</c:v>
                </c:pt>
                <c:pt idx="15">
                  <c:v>-6.25</c:v>
                </c:pt>
                <c:pt idx="16">
                  <c:v>-6</c:v>
                </c:pt>
                <c:pt idx="17">
                  <c:v>-5.75</c:v>
                </c:pt>
                <c:pt idx="18">
                  <c:v>-5.5</c:v>
                </c:pt>
                <c:pt idx="19">
                  <c:v>-5.25</c:v>
                </c:pt>
                <c:pt idx="20">
                  <c:v>-5</c:v>
                </c:pt>
                <c:pt idx="21">
                  <c:v>-4.75</c:v>
                </c:pt>
                <c:pt idx="22">
                  <c:v>-4.5</c:v>
                </c:pt>
                <c:pt idx="23">
                  <c:v>-4.25</c:v>
                </c:pt>
                <c:pt idx="24">
                  <c:v>-4</c:v>
                </c:pt>
                <c:pt idx="25">
                  <c:v>-3.75</c:v>
                </c:pt>
                <c:pt idx="26">
                  <c:v>-3.5</c:v>
                </c:pt>
                <c:pt idx="27">
                  <c:v>-3.25</c:v>
                </c:pt>
                <c:pt idx="28">
                  <c:v>-3</c:v>
                </c:pt>
                <c:pt idx="29">
                  <c:v>-2.75</c:v>
                </c:pt>
                <c:pt idx="30">
                  <c:v>-2.5</c:v>
                </c:pt>
                <c:pt idx="31">
                  <c:v>-2.25</c:v>
                </c:pt>
                <c:pt idx="32">
                  <c:v>-2</c:v>
                </c:pt>
                <c:pt idx="33">
                  <c:v>-1.75</c:v>
                </c:pt>
                <c:pt idx="34">
                  <c:v>-1.5</c:v>
                </c:pt>
                <c:pt idx="35">
                  <c:v>-1.25</c:v>
                </c:pt>
                <c:pt idx="36">
                  <c:v>-1</c:v>
                </c:pt>
                <c:pt idx="37">
                  <c:v>-0.75</c:v>
                </c:pt>
                <c:pt idx="38">
                  <c:v>-0.5</c:v>
                </c:pt>
                <c:pt idx="39">
                  <c:v>-0.25</c:v>
                </c:pt>
                <c:pt idx="40">
                  <c:v>0</c:v>
                </c:pt>
                <c:pt idx="41">
                  <c:v>0.25</c:v>
                </c:pt>
                <c:pt idx="42">
                  <c:v>0.5</c:v>
                </c:pt>
                <c:pt idx="43">
                  <c:v>0.75</c:v>
                </c:pt>
                <c:pt idx="44">
                  <c:v>1</c:v>
                </c:pt>
                <c:pt idx="45">
                  <c:v>1.25</c:v>
                </c:pt>
                <c:pt idx="46">
                  <c:v>1.5</c:v>
                </c:pt>
                <c:pt idx="47">
                  <c:v>1.75</c:v>
                </c:pt>
                <c:pt idx="48">
                  <c:v>2</c:v>
                </c:pt>
                <c:pt idx="49">
                  <c:v>2.25</c:v>
                </c:pt>
                <c:pt idx="50">
                  <c:v>2.5</c:v>
                </c:pt>
                <c:pt idx="51">
                  <c:v>2.75</c:v>
                </c:pt>
                <c:pt idx="52">
                  <c:v>3</c:v>
                </c:pt>
                <c:pt idx="53">
                  <c:v>3.25</c:v>
                </c:pt>
                <c:pt idx="54">
                  <c:v>3.5</c:v>
                </c:pt>
                <c:pt idx="55">
                  <c:v>3.75</c:v>
                </c:pt>
                <c:pt idx="56">
                  <c:v>4</c:v>
                </c:pt>
                <c:pt idx="57">
                  <c:v>4.25</c:v>
                </c:pt>
                <c:pt idx="58">
                  <c:v>4.5</c:v>
                </c:pt>
                <c:pt idx="59">
                  <c:v>4.75</c:v>
                </c:pt>
                <c:pt idx="60">
                  <c:v>5</c:v>
                </c:pt>
                <c:pt idx="61">
                  <c:v>5.25</c:v>
                </c:pt>
                <c:pt idx="62">
                  <c:v>5.5</c:v>
                </c:pt>
                <c:pt idx="63">
                  <c:v>5.75</c:v>
                </c:pt>
                <c:pt idx="64">
                  <c:v>6</c:v>
                </c:pt>
                <c:pt idx="65">
                  <c:v>6.25</c:v>
                </c:pt>
                <c:pt idx="66">
                  <c:v>6.5</c:v>
                </c:pt>
                <c:pt idx="67">
                  <c:v>6.75</c:v>
                </c:pt>
                <c:pt idx="68">
                  <c:v>7</c:v>
                </c:pt>
                <c:pt idx="69">
                  <c:v>7.25</c:v>
                </c:pt>
                <c:pt idx="70">
                  <c:v>7.5</c:v>
                </c:pt>
                <c:pt idx="71">
                  <c:v>7.75</c:v>
                </c:pt>
                <c:pt idx="72">
                  <c:v>8</c:v>
                </c:pt>
                <c:pt idx="73">
                  <c:v>8.25</c:v>
                </c:pt>
                <c:pt idx="74">
                  <c:v>8.5</c:v>
                </c:pt>
                <c:pt idx="75">
                  <c:v>8.75</c:v>
                </c:pt>
                <c:pt idx="76">
                  <c:v>9</c:v>
                </c:pt>
                <c:pt idx="77">
                  <c:v>9.25</c:v>
                </c:pt>
                <c:pt idx="78">
                  <c:v>9.5</c:v>
                </c:pt>
                <c:pt idx="79">
                  <c:v>9.75</c:v>
                </c:pt>
                <c:pt idx="80">
                  <c:v>10</c:v>
                </c:pt>
                <c:pt idx="81">
                  <c:v>10.25</c:v>
                </c:pt>
                <c:pt idx="82">
                  <c:v>10.5</c:v>
                </c:pt>
                <c:pt idx="83">
                  <c:v>10.75</c:v>
                </c:pt>
                <c:pt idx="84">
                  <c:v>11</c:v>
                </c:pt>
                <c:pt idx="85">
                  <c:v>11.25</c:v>
                </c:pt>
                <c:pt idx="86">
                  <c:v>11.5</c:v>
                </c:pt>
                <c:pt idx="87">
                  <c:v>11.75</c:v>
                </c:pt>
                <c:pt idx="88">
                  <c:v>12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13</c:v>
                </c:pt>
                <c:pt idx="93">
                  <c:v>13.25</c:v>
                </c:pt>
                <c:pt idx="94">
                  <c:v>13.5</c:v>
                </c:pt>
                <c:pt idx="95">
                  <c:v>13.75</c:v>
                </c:pt>
                <c:pt idx="96">
                  <c:v>14</c:v>
                </c:pt>
                <c:pt idx="97">
                  <c:v>14.25</c:v>
                </c:pt>
                <c:pt idx="98">
                  <c:v>14.5</c:v>
                </c:pt>
                <c:pt idx="99">
                  <c:v>14.75</c:v>
                </c:pt>
                <c:pt idx="100">
                  <c:v>15</c:v>
                </c:pt>
              </c:numCache>
            </c:numRef>
          </c:xVal>
          <c:yVal>
            <c:numRef>
              <c:f>Corrección!$D$626:$D$726</c:f>
              <c:numCache>
                <c:formatCode>0.0000</c:formatCode>
                <c:ptCount val="101"/>
                <c:pt idx="0">
                  <c:v>1.409524202469716E-4</c:v>
                </c:pt>
                <c:pt idx="1">
                  <c:v>1.5314623276970886E-4</c:v>
                </c:pt>
                <c:pt idx="2">
                  <c:v>1.6511229036253716E-4</c:v>
                </c:pt>
                <c:pt idx="3">
                  <c:v>1.7684616611526123E-4</c:v>
                </c:pt>
                <c:pt idx="4">
                  <c:v>1.8834343311768578E-4</c:v>
                </c:pt>
                <c:pt idx="5">
                  <c:v>1.9959966445961543E-4</c:v>
                </c:pt>
                <c:pt idx="6">
                  <c:v>2.1061043323085507E-4</c:v>
                </c:pt>
                <c:pt idx="7">
                  <c:v>2.2137131252120937E-4</c:v>
                </c:pt>
                <c:pt idx="8">
                  <c:v>2.3187787542048303E-4</c:v>
                </c:pt>
                <c:pt idx="9">
                  <c:v>2.4212569501848072E-4</c:v>
                </c:pt>
                <c:pt idx="10">
                  <c:v>2.5211034440500728E-4</c:v>
                </c:pt>
                <c:pt idx="11">
                  <c:v>2.6182739666986743E-4</c:v>
                </c:pt>
                <c:pt idx="12">
                  <c:v>2.7127242490286574E-4</c:v>
                </c:pt>
                <c:pt idx="13">
                  <c:v>2.8044100219380718E-4</c:v>
                </c:pt>
                <c:pt idx="14">
                  <c:v>2.8932870163249629E-4</c:v>
                </c:pt>
                <c:pt idx="15">
                  <c:v>2.9793109630873787E-4</c:v>
                </c:pt>
                <c:pt idx="16">
                  <c:v>3.0624375931233668E-4</c:v>
                </c:pt>
                <c:pt idx="17">
                  <c:v>3.1426226373309737E-4</c:v>
                </c:pt>
                <c:pt idx="18">
                  <c:v>3.2198218266082468E-4</c:v>
                </c:pt>
                <c:pt idx="19">
                  <c:v>3.2939908918532327E-4</c:v>
                </c:pt>
                <c:pt idx="20">
                  <c:v>3.365085563963981E-4</c:v>
                </c:pt>
                <c:pt idx="21">
                  <c:v>3.4330615738385365E-4</c:v>
                </c:pt>
                <c:pt idx="22">
                  <c:v>3.4978746523749475E-4</c:v>
                </c:pt>
                <c:pt idx="23">
                  <c:v>3.5594805304712613E-4</c:v>
                </c:pt>
                <c:pt idx="24">
                  <c:v>3.6178349390255255E-4</c:v>
                </c:pt>
                <c:pt idx="25">
                  <c:v>3.6728936089357856E-4</c:v>
                </c:pt>
                <c:pt idx="26">
                  <c:v>3.7246122711000911E-4</c:v>
                </c:pt>
                <c:pt idx="27">
                  <c:v>3.7729466564164881E-4</c:v>
                </c:pt>
                <c:pt idx="28">
                  <c:v>3.8178524957830246E-4</c:v>
                </c:pt>
                <c:pt idx="29">
                  <c:v>3.859285520097747E-4</c:v>
                </c:pt>
                <c:pt idx="30">
                  <c:v>3.8972014602587024E-4</c:v>
                </c:pt>
                <c:pt idx="31">
                  <c:v>3.9315560471639394E-4</c:v>
                </c:pt>
                <c:pt idx="32">
                  <c:v>3.9623050117115039E-4</c:v>
                </c:pt>
                <c:pt idx="33">
                  <c:v>3.9894040847994439E-4</c:v>
                </c:pt>
                <c:pt idx="34">
                  <c:v>4.0128089973258066E-4</c:v>
                </c:pt>
                <c:pt idx="35">
                  <c:v>4.0324754801886387E-4</c:v>
                </c:pt>
                <c:pt idx="36">
                  <c:v>4.0483592642859886E-4</c:v>
                </c:pt>
                <c:pt idx="37">
                  <c:v>4.0604160805159025E-4</c:v>
                </c:pt>
                <c:pt idx="38">
                  <c:v>4.0686016597764281E-4</c:v>
                </c:pt>
                <c:pt idx="39">
                  <c:v>4.0728717329656118E-4</c:v>
                </c:pt>
                <c:pt idx="40">
                  <c:v>4.0731820309815027E-4</c:v>
                </c:pt>
                <c:pt idx="41">
                  <c:v>4.0694882847221468E-4</c:v>
                </c:pt>
                <c:pt idx="42">
                  <c:v>4.0617462250855911E-4</c:v>
                </c:pt>
                <c:pt idx="43">
                  <c:v>4.0499115829698836E-4</c:v>
                </c:pt>
                <c:pt idx="44">
                  <c:v>4.033940089273072E-4</c:v>
                </c:pt>
                <c:pt idx="45">
                  <c:v>4.0137874748932026E-4</c:v>
                </c:pt>
                <c:pt idx="46">
                  <c:v>3.9894094707283218E-4</c:v>
                </c:pt>
                <c:pt idx="47">
                  <c:v>3.960761807676479E-4</c:v>
                </c:pt>
                <c:pt idx="48">
                  <c:v>3.92780021663572E-4</c:v>
                </c:pt>
                <c:pt idx="49">
                  <c:v>3.8904804285040928E-4</c:v>
                </c:pt>
                <c:pt idx="50">
                  <c:v>3.8487581741796444E-4</c:v>
                </c:pt>
                <c:pt idx="51">
                  <c:v>3.8025891845604219E-4</c:v>
                </c:pt>
                <c:pt idx="52">
                  <c:v>3.7519291905444729E-4</c:v>
                </c:pt>
                <c:pt idx="53">
                  <c:v>3.6967339230298442E-4</c:v>
                </c:pt>
                <c:pt idx="54">
                  <c:v>3.6369591129145834E-4</c:v>
                </c:pt>
                <c:pt idx="55">
                  <c:v>3.5725604910967387E-4</c:v>
                </c:pt>
                <c:pt idx="56">
                  <c:v>3.5034937884743548E-4</c:v>
                </c:pt>
                <c:pt idx="57">
                  <c:v>3.4297147359454815E-4</c:v>
                </c:pt>
                <c:pt idx="58">
                  <c:v>3.3511790644081651E-4</c:v>
                </c:pt>
                <c:pt idx="59">
                  <c:v>3.2678425047604523E-4</c:v>
                </c:pt>
                <c:pt idx="60">
                  <c:v>3.1796607879003915E-4</c:v>
                </c:pt>
                <c:pt idx="61">
                  <c:v>3.0865896447260287E-4</c:v>
                </c:pt>
                <c:pt idx="62">
                  <c:v>2.988584806135412E-4</c:v>
                </c:pt>
                <c:pt idx="63">
                  <c:v>2.8856020030265889E-4</c:v>
                </c:pt>
                <c:pt idx="64">
                  <c:v>2.7775969662976069E-4</c:v>
                </c:pt>
                <c:pt idx="65">
                  <c:v>2.6645254268465115E-4</c:v>
                </c:pt>
                <c:pt idx="66">
                  <c:v>2.5463431155713513E-4</c:v>
                </c:pt>
                <c:pt idx="67">
                  <c:v>2.4230057633701737E-4</c:v>
                </c:pt>
                <c:pt idx="68">
                  <c:v>2.2944691011410256E-4</c:v>
                </c:pt>
                <c:pt idx="69">
                  <c:v>2.1606888597819541E-4</c:v>
                </c:pt>
                <c:pt idx="70">
                  <c:v>2.0216207701910069E-4</c:v>
                </c:pt>
                <c:pt idx="71">
                  <c:v>1.8772205632662311E-4</c:v>
                </c:pt>
                <c:pt idx="72">
                  <c:v>1.7274439699056733E-4</c:v>
                </c:pt>
                <c:pt idx="73">
                  <c:v>1.5722467210073821E-4</c:v>
                </c:pt>
                <c:pt idx="74">
                  <c:v>1.4115845474694036E-4</c:v>
                </c:pt>
                <c:pt idx="75">
                  <c:v>1.245413180189786E-4</c:v>
                </c:pt>
                <c:pt idx="76">
                  <c:v>1.0736883500665753E-4</c:v>
                </c:pt>
                <c:pt idx="77">
                  <c:v>8.9636578799781995E-5</c:v>
                </c:pt>
                <c:pt idx="78">
                  <c:v>7.1340122488156639E-5</c:v>
                </c:pt>
                <c:pt idx="79">
                  <c:v>5.2475039161586234E-5</c:v>
                </c:pt>
                <c:pt idx="80">
                  <c:v>3.3036901909875546E-5</c:v>
                </c:pt>
                <c:pt idx="81">
                  <c:v>1.3021283822829256E-5</c:v>
                </c:pt>
                <c:pt idx="82">
                  <c:v>-7.5762420097479994E-6</c:v>
                </c:pt>
                <c:pt idx="83">
                  <c:v>-2.876010249805137E-5</c:v>
                </c:pt>
                <c:pt idx="84">
                  <c:v>-5.0534724552276102E-5</c:v>
                </c:pt>
                <c:pt idx="85">
                  <c:v>-7.2904535082617475E-5</c:v>
                </c:pt>
                <c:pt idx="86">
                  <c:v>-9.5873960999270973E-5</c:v>
                </c:pt>
                <c:pt idx="87">
                  <c:v>-1.1944742921243168E-4</c:v>
                </c:pt>
                <c:pt idx="88">
                  <c:v>-1.4362936663229485E-4</c:v>
                </c:pt>
                <c:pt idx="89">
                  <c:v>-1.6842420016905592E-4</c:v>
                </c:pt>
                <c:pt idx="90">
                  <c:v>-1.9383635673290994E-4</c:v>
                </c:pt>
                <c:pt idx="91">
                  <c:v>-2.1987026323405233E-4</c:v>
                </c:pt>
                <c:pt idx="92">
                  <c:v>-2.4653034658267837E-4</c:v>
                </c:pt>
                <c:pt idx="93">
                  <c:v>-2.7382103368898329E-4</c:v>
                </c:pt>
                <c:pt idx="94">
                  <c:v>-3.0174675146316246E-4</c:v>
                </c:pt>
                <c:pt idx="95">
                  <c:v>-3.3031192681541089E-4</c:v>
                </c:pt>
                <c:pt idx="96">
                  <c:v>-3.5952098665592423E-4</c:v>
                </c:pt>
                <c:pt idx="97">
                  <c:v>-3.8937835789489732E-4</c:v>
                </c:pt>
                <c:pt idx="98">
                  <c:v>-4.198884674425257E-4</c:v>
                </c:pt>
                <c:pt idx="99">
                  <c:v>-4.5105574220900472E-4</c:v>
                </c:pt>
                <c:pt idx="100">
                  <c:v>-4.8288460910452956E-4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0D-49C7-B68C-0B94C434E912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3"/>
            <c:marker>
              <c:symbol val="circle"/>
              <c:size val="6"/>
              <c:spPr>
                <a:noFill/>
                <a:ln w="12700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040D-49C7-B68C-0B94C434E912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plus>
            <c:min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Corrección!$C$19:$C$31</c:f>
              <c:numCache>
                <c:formatCode>General</c:formatCode>
                <c:ptCount val="13"/>
                <c:pt idx="0">
                  <c:v>-10</c:v>
                </c:pt>
                <c:pt idx="1">
                  <c:v>-8</c:v>
                </c:pt>
                <c:pt idx="2">
                  <c:v>-5</c:v>
                </c:pt>
                <c:pt idx="3">
                  <c:v>-2</c:v>
                </c:pt>
                <c:pt idx="4">
                  <c:v>0</c:v>
                </c:pt>
                <c:pt idx="5">
                  <c:v>2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13</c:v>
                </c:pt>
                <c:pt idx="10">
                  <c:v>15</c:v>
                </c:pt>
              </c:numCache>
            </c:numRef>
          </c:xVal>
          <c:yVal>
            <c:numRef>
              <c:f>Corrección!$D$19:$D$31</c:f>
              <c:numCache>
                <c:formatCode>General</c:formatCode>
                <c:ptCount val="13"/>
                <c:pt idx="0">
                  <c:v>2.0000000000000001E-4</c:v>
                </c:pt>
                <c:pt idx="1">
                  <c:v>2.0000000000000001E-4</c:v>
                </c:pt>
                <c:pt idx="2">
                  <c:v>2.9999999999999997E-4</c:v>
                </c:pt>
                <c:pt idx="3">
                  <c:v>2.9999999999999997E-4</c:v>
                </c:pt>
                <c:pt idx="4">
                  <c:v>4.0000000000000002E-4</c:v>
                </c:pt>
                <c:pt idx="5">
                  <c:v>4.0000000000000002E-4</c:v>
                </c:pt>
                <c:pt idx="6">
                  <c:v>5.0000000000000001E-4</c:v>
                </c:pt>
                <c:pt idx="7">
                  <c:v>5.0000000000000001E-4</c:v>
                </c:pt>
                <c:pt idx="8">
                  <c:v>-4.0000000000000002E-4</c:v>
                </c:pt>
                <c:pt idx="9">
                  <c:v>-4.0000000000000002E-4</c:v>
                </c:pt>
                <c:pt idx="10">
                  <c:v>-2.9999999999999997E-4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40D-49C7-B68C-0B94C434E912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Corrección!$F$65:$F$74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plus>
            <c:minus>
              <c:numRef>
                <c:f>Corrección!$F$65:$F$74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Corrección!$C$65:$C$74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Corrección!$D$65:$D$74</c:f>
              <c:numCache>
                <c:formatCode>0.0000</c:formatCode>
                <c:ptCount val="10"/>
                <c:pt idx="0">
                  <c:v>4.0731820309815027E-4</c:v>
                </c:pt>
                <c:pt idx="1">
                  <c:v>4.0731820309815027E-4</c:v>
                </c:pt>
                <c:pt idx="2">
                  <c:v>4.0731820309815027E-4</c:v>
                </c:pt>
                <c:pt idx="3">
                  <c:v>4.0731820309815027E-4</c:v>
                </c:pt>
                <c:pt idx="4">
                  <c:v>4.0731820309815027E-4</c:v>
                </c:pt>
                <c:pt idx="5">
                  <c:v>4.0731820309815027E-4</c:v>
                </c:pt>
                <c:pt idx="6">
                  <c:v>4.0731820309815027E-4</c:v>
                </c:pt>
                <c:pt idx="7">
                  <c:v>4.0731820309815027E-4</c:v>
                </c:pt>
                <c:pt idx="8">
                  <c:v>4.0731820309815027E-4</c:v>
                </c:pt>
                <c:pt idx="9">
                  <c:v>4.0731820309815027E-4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40D-49C7-B68C-0B94C434E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manovacuómetro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Corrección!$C$626:$C$726</c:f>
              <c:numCache>
                <c:formatCode>0.0000</c:formatCode>
                <c:ptCount val="101"/>
                <c:pt idx="0">
                  <c:v>-10</c:v>
                </c:pt>
                <c:pt idx="1">
                  <c:v>-9.75</c:v>
                </c:pt>
                <c:pt idx="2">
                  <c:v>-9.5</c:v>
                </c:pt>
                <c:pt idx="3">
                  <c:v>-9.25</c:v>
                </c:pt>
                <c:pt idx="4">
                  <c:v>-9</c:v>
                </c:pt>
                <c:pt idx="5">
                  <c:v>-8.75</c:v>
                </c:pt>
                <c:pt idx="6">
                  <c:v>-8.5</c:v>
                </c:pt>
                <c:pt idx="7">
                  <c:v>-8.25</c:v>
                </c:pt>
                <c:pt idx="8">
                  <c:v>-8</c:v>
                </c:pt>
                <c:pt idx="9">
                  <c:v>-7.75</c:v>
                </c:pt>
                <c:pt idx="10">
                  <c:v>-7.5</c:v>
                </c:pt>
                <c:pt idx="11">
                  <c:v>-7.25</c:v>
                </c:pt>
                <c:pt idx="12">
                  <c:v>-7</c:v>
                </c:pt>
                <c:pt idx="13">
                  <c:v>-6.75</c:v>
                </c:pt>
                <c:pt idx="14">
                  <c:v>-6.5</c:v>
                </c:pt>
                <c:pt idx="15">
                  <c:v>-6.25</c:v>
                </c:pt>
                <c:pt idx="16">
                  <c:v>-6</c:v>
                </c:pt>
                <c:pt idx="17">
                  <c:v>-5.75</c:v>
                </c:pt>
                <c:pt idx="18">
                  <c:v>-5.5</c:v>
                </c:pt>
                <c:pt idx="19">
                  <c:v>-5.25</c:v>
                </c:pt>
                <c:pt idx="20">
                  <c:v>-5</c:v>
                </c:pt>
                <c:pt idx="21">
                  <c:v>-4.75</c:v>
                </c:pt>
                <c:pt idx="22">
                  <c:v>-4.5</c:v>
                </c:pt>
                <c:pt idx="23">
                  <c:v>-4.25</c:v>
                </c:pt>
                <c:pt idx="24">
                  <c:v>-4</c:v>
                </c:pt>
                <c:pt idx="25">
                  <c:v>-3.75</c:v>
                </c:pt>
                <c:pt idx="26">
                  <c:v>-3.5</c:v>
                </c:pt>
                <c:pt idx="27">
                  <c:v>-3.25</c:v>
                </c:pt>
                <c:pt idx="28">
                  <c:v>-3</c:v>
                </c:pt>
                <c:pt idx="29">
                  <c:v>-2.75</c:v>
                </c:pt>
                <c:pt idx="30">
                  <c:v>-2.5</c:v>
                </c:pt>
                <c:pt idx="31">
                  <c:v>-2.25</c:v>
                </c:pt>
                <c:pt idx="32">
                  <c:v>-2</c:v>
                </c:pt>
                <c:pt idx="33">
                  <c:v>-1.75</c:v>
                </c:pt>
                <c:pt idx="34">
                  <c:v>-1.5</c:v>
                </c:pt>
                <c:pt idx="35">
                  <c:v>-1.25</c:v>
                </c:pt>
                <c:pt idx="36">
                  <c:v>-1</c:v>
                </c:pt>
                <c:pt idx="37">
                  <c:v>-0.75</c:v>
                </c:pt>
                <c:pt idx="38">
                  <c:v>-0.5</c:v>
                </c:pt>
                <c:pt idx="39">
                  <c:v>-0.25</c:v>
                </c:pt>
                <c:pt idx="40">
                  <c:v>0</c:v>
                </c:pt>
                <c:pt idx="41">
                  <c:v>0.25</c:v>
                </c:pt>
                <c:pt idx="42">
                  <c:v>0.5</c:v>
                </c:pt>
                <c:pt idx="43">
                  <c:v>0.75</c:v>
                </c:pt>
                <c:pt idx="44">
                  <c:v>1</c:v>
                </c:pt>
                <c:pt idx="45">
                  <c:v>1.25</c:v>
                </c:pt>
                <c:pt idx="46">
                  <c:v>1.5</c:v>
                </c:pt>
                <c:pt idx="47">
                  <c:v>1.75</c:v>
                </c:pt>
                <c:pt idx="48">
                  <c:v>2</c:v>
                </c:pt>
                <c:pt idx="49">
                  <c:v>2.25</c:v>
                </c:pt>
                <c:pt idx="50">
                  <c:v>2.5</c:v>
                </c:pt>
                <c:pt idx="51">
                  <c:v>2.75</c:v>
                </c:pt>
                <c:pt idx="52">
                  <c:v>3</c:v>
                </c:pt>
                <c:pt idx="53">
                  <c:v>3.25</c:v>
                </c:pt>
                <c:pt idx="54">
                  <c:v>3.5</c:v>
                </c:pt>
                <c:pt idx="55">
                  <c:v>3.75</c:v>
                </c:pt>
                <c:pt idx="56">
                  <c:v>4</c:v>
                </c:pt>
                <c:pt idx="57">
                  <c:v>4.25</c:v>
                </c:pt>
                <c:pt idx="58">
                  <c:v>4.5</c:v>
                </c:pt>
                <c:pt idx="59">
                  <c:v>4.75</c:v>
                </c:pt>
                <c:pt idx="60">
                  <c:v>5</c:v>
                </c:pt>
                <c:pt idx="61">
                  <c:v>5.25</c:v>
                </c:pt>
                <c:pt idx="62">
                  <c:v>5.5</c:v>
                </c:pt>
                <c:pt idx="63">
                  <c:v>5.75</c:v>
                </c:pt>
                <c:pt idx="64">
                  <c:v>6</c:v>
                </c:pt>
                <c:pt idx="65">
                  <c:v>6.25</c:v>
                </c:pt>
                <c:pt idx="66">
                  <c:v>6.5</c:v>
                </c:pt>
                <c:pt idx="67">
                  <c:v>6.75</c:v>
                </c:pt>
                <c:pt idx="68">
                  <c:v>7</c:v>
                </c:pt>
                <c:pt idx="69">
                  <c:v>7.25</c:v>
                </c:pt>
                <c:pt idx="70">
                  <c:v>7.5</c:v>
                </c:pt>
                <c:pt idx="71">
                  <c:v>7.75</c:v>
                </c:pt>
                <c:pt idx="72">
                  <c:v>8</c:v>
                </c:pt>
                <c:pt idx="73">
                  <c:v>8.25</c:v>
                </c:pt>
                <c:pt idx="74">
                  <c:v>8.5</c:v>
                </c:pt>
                <c:pt idx="75">
                  <c:v>8.75</c:v>
                </c:pt>
                <c:pt idx="76">
                  <c:v>9</c:v>
                </c:pt>
                <c:pt idx="77">
                  <c:v>9.25</c:v>
                </c:pt>
                <c:pt idx="78">
                  <c:v>9.5</c:v>
                </c:pt>
                <c:pt idx="79">
                  <c:v>9.75</c:v>
                </c:pt>
                <c:pt idx="80">
                  <c:v>10</c:v>
                </c:pt>
                <c:pt idx="81">
                  <c:v>10.25</c:v>
                </c:pt>
                <c:pt idx="82">
                  <c:v>10.5</c:v>
                </c:pt>
                <c:pt idx="83">
                  <c:v>10.75</c:v>
                </c:pt>
                <c:pt idx="84">
                  <c:v>11</c:v>
                </c:pt>
                <c:pt idx="85">
                  <c:v>11.25</c:v>
                </c:pt>
                <c:pt idx="86">
                  <c:v>11.5</c:v>
                </c:pt>
                <c:pt idx="87">
                  <c:v>11.75</c:v>
                </c:pt>
                <c:pt idx="88">
                  <c:v>12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13</c:v>
                </c:pt>
                <c:pt idx="93">
                  <c:v>13.25</c:v>
                </c:pt>
                <c:pt idx="94">
                  <c:v>13.5</c:v>
                </c:pt>
                <c:pt idx="95">
                  <c:v>13.75</c:v>
                </c:pt>
                <c:pt idx="96">
                  <c:v>14</c:v>
                </c:pt>
                <c:pt idx="97">
                  <c:v>14.25</c:v>
                </c:pt>
                <c:pt idx="98">
                  <c:v>14.5</c:v>
                </c:pt>
                <c:pt idx="99">
                  <c:v>14.75</c:v>
                </c:pt>
                <c:pt idx="100">
                  <c:v>15</c:v>
                </c:pt>
              </c:numCache>
            </c:numRef>
          </c:xVal>
          <c:yVal>
            <c:numRef>
              <c:f>Corrección!$D$626:$D$726</c:f>
              <c:numCache>
                <c:formatCode>0.0000</c:formatCode>
                <c:ptCount val="101"/>
                <c:pt idx="0">
                  <c:v>1.409524202469716E-4</c:v>
                </c:pt>
                <c:pt idx="1">
                  <c:v>1.5314623276970886E-4</c:v>
                </c:pt>
                <c:pt idx="2">
                  <c:v>1.6511229036253716E-4</c:v>
                </c:pt>
                <c:pt idx="3">
                  <c:v>1.7684616611526123E-4</c:v>
                </c:pt>
                <c:pt idx="4">
                  <c:v>1.8834343311768578E-4</c:v>
                </c:pt>
                <c:pt idx="5">
                  <c:v>1.9959966445961543E-4</c:v>
                </c:pt>
                <c:pt idx="6">
                  <c:v>2.1061043323085507E-4</c:v>
                </c:pt>
                <c:pt idx="7">
                  <c:v>2.2137131252120937E-4</c:v>
                </c:pt>
                <c:pt idx="8">
                  <c:v>2.3187787542048303E-4</c:v>
                </c:pt>
                <c:pt idx="9">
                  <c:v>2.4212569501848072E-4</c:v>
                </c:pt>
                <c:pt idx="10">
                  <c:v>2.5211034440500728E-4</c:v>
                </c:pt>
                <c:pt idx="11">
                  <c:v>2.6182739666986743E-4</c:v>
                </c:pt>
                <c:pt idx="12">
                  <c:v>2.7127242490286574E-4</c:v>
                </c:pt>
                <c:pt idx="13">
                  <c:v>2.8044100219380718E-4</c:v>
                </c:pt>
                <c:pt idx="14">
                  <c:v>2.8932870163249629E-4</c:v>
                </c:pt>
                <c:pt idx="15">
                  <c:v>2.9793109630873787E-4</c:v>
                </c:pt>
                <c:pt idx="16">
                  <c:v>3.0624375931233668E-4</c:v>
                </c:pt>
                <c:pt idx="17">
                  <c:v>3.1426226373309737E-4</c:v>
                </c:pt>
                <c:pt idx="18">
                  <c:v>3.2198218266082468E-4</c:v>
                </c:pt>
                <c:pt idx="19">
                  <c:v>3.2939908918532327E-4</c:v>
                </c:pt>
                <c:pt idx="20">
                  <c:v>3.365085563963981E-4</c:v>
                </c:pt>
                <c:pt idx="21">
                  <c:v>3.4330615738385365E-4</c:v>
                </c:pt>
                <c:pt idx="22">
                  <c:v>3.4978746523749475E-4</c:v>
                </c:pt>
                <c:pt idx="23">
                  <c:v>3.5594805304712613E-4</c:v>
                </c:pt>
                <c:pt idx="24">
                  <c:v>3.6178349390255255E-4</c:v>
                </c:pt>
                <c:pt idx="25">
                  <c:v>3.6728936089357856E-4</c:v>
                </c:pt>
                <c:pt idx="26">
                  <c:v>3.7246122711000911E-4</c:v>
                </c:pt>
                <c:pt idx="27">
                  <c:v>3.7729466564164881E-4</c:v>
                </c:pt>
                <c:pt idx="28">
                  <c:v>3.8178524957830246E-4</c:v>
                </c:pt>
                <c:pt idx="29">
                  <c:v>3.859285520097747E-4</c:v>
                </c:pt>
                <c:pt idx="30">
                  <c:v>3.8972014602587024E-4</c:v>
                </c:pt>
                <c:pt idx="31">
                  <c:v>3.9315560471639394E-4</c:v>
                </c:pt>
                <c:pt idx="32">
                  <c:v>3.9623050117115039E-4</c:v>
                </c:pt>
                <c:pt idx="33">
                  <c:v>3.9894040847994439E-4</c:v>
                </c:pt>
                <c:pt idx="34">
                  <c:v>4.0128089973258066E-4</c:v>
                </c:pt>
                <c:pt idx="35">
                  <c:v>4.0324754801886387E-4</c:v>
                </c:pt>
                <c:pt idx="36">
                  <c:v>4.0483592642859886E-4</c:v>
                </c:pt>
                <c:pt idx="37">
                  <c:v>4.0604160805159025E-4</c:v>
                </c:pt>
                <c:pt idx="38">
                  <c:v>4.0686016597764281E-4</c:v>
                </c:pt>
                <c:pt idx="39">
                  <c:v>4.0728717329656118E-4</c:v>
                </c:pt>
                <c:pt idx="40">
                  <c:v>4.0731820309815027E-4</c:v>
                </c:pt>
                <c:pt idx="41">
                  <c:v>4.0694882847221468E-4</c:v>
                </c:pt>
                <c:pt idx="42">
                  <c:v>4.0617462250855911E-4</c:v>
                </c:pt>
                <c:pt idx="43">
                  <c:v>4.0499115829698836E-4</c:v>
                </c:pt>
                <c:pt idx="44">
                  <c:v>4.033940089273072E-4</c:v>
                </c:pt>
                <c:pt idx="45">
                  <c:v>4.0137874748932026E-4</c:v>
                </c:pt>
                <c:pt idx="46">
                  <c:v>3.9894094707283218E-4</c:v>
                </c:pt>
                <c:pt idx="47">
                  <c:v>3.960761807676479E-4</c:v>
                </c:pt>
                <c:pt idx="48">
                  <c:v>3.92780021663572E-4</c:v>
                </c:pt>
                <c:pt idx="49">
                  <c:v>3.8904804285040928E-4</c:v>
                </c:pt>
                <c:pt idx="50">
                  <c:v>3.8487581741796444E-4</c:v>
                </c:pt>
                <c:pt idx="51">
                  <c:v>3.8025891845604219E-4</c:v>
                </c:pt>
                <c:pt idx="52">
                  <c:v>3.7519291905444729E-4</c:v>
                </c:pt>
                <c:pt idx="53">
                  <c:v>3.6967339230298442E-4</c:v>
                </c:pt>
                <c:pt idx="54">
                  <c:v>3.6369591129145834E-4</c:v>
                </c:pt>
                <c:pt idx="55">
                  <c:v>3.5725604910967387E-4</c:v>
                </c:pt>
                <c:pt idx="56">
                  <c:v>3.5034937884743548E-4</c:v>
                </c:pt>
                <c:pt idx="57">
                  <c:v>3.4297147359454815E-4</c:v>
                </c:pt>
                <c:pt idx="58">
                  <c:v>3.3511790644081651E-4</c:v>
                </c:pt>
                <c:pt idx="59">
                  <c:v>3.2678425047604523E-4</c:v>
                </c:pt>
                <c:pt idx="60">
                  <c:v>3.1796607879003915E-4</c:v>
                </c:pt>
                <c:pt idx="61">
                  <c:v>3.0865896447260287E-4</c:v>
                </c:pt>
                <c:pt idx="62">
                  <c:v>2.988584806135412E-4</c:v>
                </c:pt>
                <c:pt idx="63">
                  <c:v>2.8856020030265889E-4</c:v>
                </c:pt>
                <c:pt idx="64">
                  <c:v>2.7775969662976069E-4</c:v>
                </c:pt>
                <c:pt idx="65">
                  <c:v>2.6645254268465115E-4</c:v>
                </c:pt>
                <c:pt idx="66">
                  <c:v>2.5463431155713513E-4</c:v>
                </c:pt>
                <c:pt idx="67">
                  <c:v>2.4230057633701737E-4</c:v>
                </c:pt>
                <c:pt idx="68">
                  <c:v>2.2944691011410256E-4</c:v>
                </c:pt>
                <c:pt idx="69">
                  <c:v>2.1606888597819541E-4</c:v>
                </c:pt>
                <c:pt idx="70">
                  <c:v>2.0216207701910069E-4</c:v>
                </c:pt>
                <c:pt idx="71">
                  <c:v>1.8772205632662311E-4</c:v>
                </c:pt>
                <c:pt idx="72">
                  <c:v>1.7274439699056733E-4</c:v>
                </c:pt>
                <c:pt idx="73">
                  <c:v>1.5722467210073821E-4</c:v>
                </c:pt>
                <c:pt idx="74">
                  <c:v>1.4115845474694036E-4</c:v>
                </c:pt>
                <c:pt idx="75">
                  <c:v>1.245413180189786E-4</c:v>
                </c:pt>
                <c:pt idx="76">
                  <c:v>1.0736883500665753E-4</c:v>
                </c:pt>
                <c:pt idx="77">
                  <c:v>8.9636578799781995E-5</c:v>
                </c:pt>
                <c:pt idx="78">
                  <c:v>7.1340122488156639E-5</c:v>
                </c:pt>
                <c:pt idx="79">
                  <c:v>5.2475039161586234E-5</c:v>
                </c:pt>
                <c:pt idx="80">
                  <c:v>3.3036901909875546E-5</c:v>
                </c:pt>
                <c:pt idx="81">
                  <c:v>1.3021283822829256E-5</c:v>
                </c:pt>
                <c:pt idx="82">
                  <c:v>-7.5762420097479994E-6</c:v>
                </c:pt>
                <c:pt idx="83">
                  <c:v>-2.876010249805137E-5</c:v>
                </c:pt>
                <c:pt idx="84">
                  <c:v>-5.0534724552276102E-5</c:v>
                </c:pt>
                <c:pt idx="85">
                  <c:v>-7.2904535082617475E-5</c:v>
                </c:pt>
                <c:pt idx="86">
                  <c:v>-9.5873960999270973E-5</c:v>
                </c:pt>
                <c:pt idx="87">
                  <c:v>-1.1944742921243168E-4</c:v>
                </c:pt>
                <c:pt idx="88">
                  <c:v>-1.4362936663229485E-4</c:v>
                </c:pt>
                <c:pt idx="89">
                  <c:v>-1.6842420016905592E-4</c:v>
                </c:pt>
                <c:pt idx="90">
                  <c:v>-1.9383635673290994E-4</c:v>
                </c:pt>
                <c:pt idx="91">
                  <c:v>-2.1987026323405233E-4</c:v>
                </c:pt>
                <c:pt idx="92">
                  <c:v>-2.4653034658267837E-4</c:v>
                </c:pt>
                <c:pt idx="93">
                  <c:v>-2.7382103368898329E-4</c:v>
                </c:pt>
                <c:pt idx="94">
                  <c:v>-3.0174675146316246E-4</c:v>
                </c:pt>
                <c:pt idx="95">
                  <c:v>-3.3031192681541089E-4</c:v>
                </c:pt>
                <c:pt idx="96">
                  <c:v>-3.5952098665592423E-4</c:v>
                </c:pt>
                <c:pt idx="97">
                  <c:v>-3.8937835789489732E-4</c:v>
                </c:pt>
                <c:pt idx="98">
                  <c:v>-4.198884674425257E-4</c:v>
                </c:pt>
                <c:pt idx="99">
                  <c:v>-4.5105574220900472E-4</c:v>
                </c:pt>
                <c:pt idx="100">
                  <c:v>-4.8288460910452956E-4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2B-4F42-86C9-E256EA32266F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3"/>
            <c:marker>
              <c:symbol val="circle"/>
              <c:size val="6"/>
              <c:spPr>
                <a:noFill/>
                <a:ln w="12700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92B-4F42-86C9-E256EA32266F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plus>
            <c:min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Corrección!$C$19:$C$31</c:f>
              <c:numCache>
                <c:formatCode>General</c:formatCode>
                <c:ptCount val="13"/>
                <c:pt idx="0">
                  <c:v>-10</c:v>
                </c:pt>
                <c:pt idx="1">
                  <c:v>-8</c:v>
                </c:pt>
                <c:pt idx="2">
                  <c:v>-5</c:v>
                </c:pt>
                <c:pt idx="3">
                  <c:v>-2</c:v>
                </c:pt>
                <c:pt idx="4">
                  <c:v>0</c:v>
                </c:pt>
                <c:pt idx="5">
                  <c:v>2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13</c:v>
                </c:pt>
                <c:pt idx="10">
                  <c:v>15</c:v>
                </c:pt>
              </c:numCache>
            </c:numRef>
          </c:xVal>
          <c:yVal>
            <c:numRef>
              <c:f>Corrección!$D$19:$D$31</c:f>
              <c:numCache>
                <c:formatCode>General</c:formatCode>
                <c:ptCount val="13"/>
                <c:pt idx="0">
                  <c:v>2.0000000000000001E-4</c:v>
                </c:pt>
                <c:pt idx="1">
                  <c:v>2.0000000000000001E-4</c:v>
                </c:pt>
                <c:pt idx="2">
                  <c:v>2.9999999999999997E-4</c:v>
                </c:pt>
                <c:pt idx="3">
                  <c:v>2.9999999999999997E-4</c:v>
                </c:pt>
                <c:pt idx="4">
                  <c:v>4.0000000000000002E-4</c:v>
                </c:pt>
                <c:pt idx="5">
                  <c:v>4.0000000000000002E-4</c:v>
                </c:pt>
                <c:pt idx="6">
                  <c:v>5.0000000000000001E-4</c:v>
                </c:pt>
                <c:pt idx="7">
                  <c:v>5.0000000000000001E-4</c:v>
                </c:pt>
                <c:pt idx="8">
                  <c:v>-4.0000000000000002E-4</c:v>
                </c:pt>
                <c:pt idx="9">
                  <c:v>-4.0000000000000002E-4</c:v>
                </c:pt>
                <c:pt idx="10">
                  <c:v>-2.9999999999999997E-4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92B-4F42-86C9-E256EA32266F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Corrección!$F$95:$F$104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plus>
            <c:minus>
              <c:numRef>
                <c:f>Corrección!$F$95:$F$104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Corrección!$C$95:$C$104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Corrección!$D$95:$D$104</c:f>
              <c:numCache>
                <c:formatCode>0.0000</c:formatCode>
                <c:ptCount val="10"/>
                <c:pt idx="0">
                  <c:v>4.0731820309815027E-4</c:v>
                </c:pt>
                <c:pt idx="1">
                  <c:v>4.0731820309815027E-4</c:v>
                </c:pt>
                <c:pt idx="2">
                  <c:v>4.0731820309815027E-4</c:v>
                </c:pt>
                <c:pt idx="3">
                  <c:v>4.0731820309815027E-4</c:v>
                </c:pt>
                <c:pt idx="4">
                  <c:v>4.0731820309815027E-4</c:v>
                </c:pt>
                <c:pt idx="5">
                  <c:v>4.0731820309815027E-4</c:v>
                </c:pt>
                <c:pt idx="6">
                  <c:v>4.0731820309815027E-4</c:v>
                </c:pt>
                <c:pt idx="7">
                  <c:v>4.0731820309815027E-4</c:v>
                </c:pt>
                <c:pt idx="8">
                  <c:v>4.0731820309815027E-4</c:v>
                </c:pt>
                <c:pt idx="9">
                  <c:v>4.0731820309815027E-4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92B-4F42-86C9-E256EA322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manovacuómetro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Corrección!$E$626:$E$726</c:f>
              <c:numCache>
                <c:formatCode>0.0000</c:formatCode>
                <c:ptCount val="101"/>
                <c:pt idx="0">
                  <c:v>0</c:v>
                </c:pt>
                <c:pt idx="1">
                  <c:v>60</c:v>
                </c:pt>
                <c:pt idx="2">
                  <c:v>120</c:v>
                </c:pt>
                <c:pt idx="3">
                  <c:v>180</c:v>
                </c:pt>
                <c:pt idx="4">
                  <c:v>240</c:v>
                </c:pt>
                <c:pt idx="5">
                  <c:v>300</c:v>
                </c:pt>
                <c:pt idx="6">
                  <c:v>360</c:v>
                </c:pt>
                <c:pt idx="7">
                  <c:v>420</c:v>
                </c:pt>
                <c:pt idx="8">
                  <c:v>480</c:v>
                </c:pt>
                <c:pt idx="9">
                  <c:v>540</c:v>
                </c:pt>
                <c:pt idx="10">
                  <c:v>600</c:v>
                </c:pt>
                <c:pt idx="11">
                  <c:v>660</c:v>
                </c:pt>
                <c:pt idx="12">
                  <c:v>720</c:v>
                </c:pt>
                <c:pt idx="13">
                  <c:v>780</c:v>
                </c:pt>
                <c:pt idx="14">
                  <c:v>840</c:v>
                </c:pt>
                <c:pt idx="15">
                  <c:v>900</c:v>
                </c:pt>
                <c:pt idx="16">
                  <c:v>960</c:v>
                </c:pt>
                <c:pt idx="17">
                  <c:v>1020</c:v>
                </c:pt>
                <c:pt idx="18">
                  <c:v>1080</c:v>
                </c:pt>
                <c:pt idx="19">
                  <c:v>1140</c:v>
                </c:pt>
                <c:pt idx="20">
                  <c:v>1200</c:v>
                </c:pt>
                <c:pt idx="21">
                  <c:v>1260</c:v>
                </c:pt>
                <c:pt idx="22">
                  <c:v>1320</c:v>
                </c:pt>
                <c:pt idx="23">
                  <c:v>1380</c:v>
                </c:pt>
                <c:pt idx="24">
                  <c:v>1440</c:v>
                </c:pt>
                <c:pt idx="25">
                  <c:v>1500</c:v>
                </c:pt>
                <c:pt idx="26">
                  <c:v>1560</c:v>
                </c:pt>
                <c:pt idx="27">
                  <c:v>1620</c:v>
                </c:pt>
                <c:pt idx="28">
                  <c:v>1680</c:v>
                </c:pt>
                <c:pt idx="29">
                  <c:v>1740</c:v>
                </c:pt>
                <c:pt idx="30">
                  <c:v>1800</c:v>
                </c:pt>
                <c:pt idx="31">
                  <c:v>1860</c:v>
                </c:pt>
                <c:pt idx="32">
                  <c:v>1920</c:v>
                </c:pt>
                <c:pt idx="33">
                  <c:v>1980</c:v>
                </c:pt>
                <c:pt idx="34">
                  <c:v>2040</c:v>
                </c:pt>
                <c:pt idx="35">
                  <c:v>2100</c:v>
                </c:pt>
                <c:pt idx="36">
                  <c:v>2160</c:v>
                </c:pt>
                <c:pt idx="37">
                  <c:v>2220</c:v>
                </c:pt>
                <c:pt idx="38">
                  <c:v>2280</c:v>
                </c:pt>
                <c:pt idx="39">
                  <c:v>2340</c:v>
                </c:pt>
                <c:pt idx="40">
                  <c:v>2400</c:v>
                </c:pt>
                <c:pt idx="41">
                  <c:v>2460</c:v>
                </c:pt>
                <c:pt idx="42">
                  <c:v>2520</c:v>
                </c:pt>
                <c:pt idx="43">
                  <c:v>2580</c:v>
                </c:pt>
                <c:pt idx="44">
                  <c:v>2640</c:v>
                </c:pt>
                <c:pt idx="45">
                  <c:v>2700</c:v>
                </c:pt>
                <c:pt idx="46">
                  <c:v>2760</c:v>
                </c:pt>
                <c:pt idx="47">
                  <c:v>2820</c:v>
                </c:pt>
                <c:pt idx="48">
                  <c:v>2880</c:v>
                </c:pt>
                <c:pt idx="49">
                  <c:v>2940</c:v>
                </c:pt>
                <c:pt idx="50">
                  <c:v>3000</c:v>
                </c:pt>
                <c:pt idx="51">
                  <c:v>3060</c:v>
                </c:pt>
                <c:pt idx="52">
                  <c:v>3120</c:v>
                </c:pt>
                <c:pt idx="53">
                  <c:v>3180</c:v>
                </c:pt>
                <c:pt idx="54">
                  <c:v>3240</c:v>
                </c:pt>
                <c:pt idx="55">
                  <c:v>3300</c:v>
                </c:pt>
                <c:pt idx="56">
                  <c:v>3360</c:v>
                </c:pt>
                <c:pt idx="57">
                  <c:v>3420</c:v>
                </c:pt>
                <c:pt idx="58">
                  <c:v>3480</c:v>
                </c:pt>
                <c:pt idx="59">
                  <c:v>3540</c:v>
                </c:pt>
                <c:pt idx="60">
                  <c:v>3600</c:v>
                </c:pt>
                <c:pt idx="61">
                  <c:v>3660</c:v>
                </c:pt>
                <c:pt idx="62">
                  <c:v>3720</c:v>
                </c:pt>
                <c:pt idx="63">
                  <c:v>3780</c:v>
                </c:pt>
                <c:pt idx="64">
                  <c:v>3840</c:v>
                </c:pt>
                <c:pt idx="65">
                  <c:v>3900</c:v>
                </c:pt>
                <c:pt idx="66">
                  <c:v>3960</c:v>
                </c:pt>
                <c:pt idx="67">
                  <c:v>4020</c:v>
                </c:pt>
                <c:pt idx="68">
                  <c:v>4080</c:v>
                </c:pt>
                <c:pt idx="69">
                  <c:v>4140</c:v>
                </c:pt>
                <c:pt idx="70">
                  <c:v>4200</c:v>
                </c:pt>
                <c:pt idx="71">
                  <c:v>4260</c:v>
                </c:pt>
                <c:pt idx="72">
                  <c:v>4320</c:v>
                </c:pt>
                <c:pt idx="73">
                  <c:v>4380</c:v>
                </c:pt>
                <c:pt idx="74">
                  <c:v>4440</c:v>
                </c:pt>
                <c:pt idx="75">
                  <c:v>4500</c:v>
                </c:pt>
                <c:pt idx="76">
                  <c:v>4560</c:v>
                </c:pt>
                <c:pt idx="77">
                  <c:v>4620</c:v>
                </c:pt>
                <c:pt idx="78">
                  <c:v>4680</c:v>
                </c:pt>
                <c:pt idx="79">
                  <c:v>4740</c:v>
                </c:pt>
                <c:pt idx="80">
                  <c:v>4800</c:v>
                </c:pt>
                <c:pt idx="81">
                  <c:v>4860</c:v>
                </c:pt>
                <c:pt idx="82">
                  <c:v>4920</c:v>
                </c:pt>
                <c:pt idx="83">
                  <c:v>4980</c:v>
                </c:pt>
                <c:pt idx="84">
                  <c:v>5040</c:v>
                </c:pt>
                <c:pt idx="85">
                  <c:v>5100</c:v>
                </c:pt>
                <c:pt idx="86">
                  <c:v>5160</c:v>
                </c:pt>
                <c:pt idx="87">
                  <c:v>5220</c:v>
                </c:pt>
                <c:pt idx="88">
                  <c:v>5280</c:v>
                </c:pt>
                <c:pt idx="89">
                  <c:v>5340</c:v>
                </c:pt>
                <c:pt idx="90">
                  <c:v>5400</c:v>
                </c:pt>
                <c:pt idx="91">
                  <c:v>5460</c:v>
                </c:pt>
                <c:pt idx="92">
                  <c:v>5520</c:v>
                </c:pt>
                <c:pt idx="93">
                  <c:v>5580</c:v>
                </c:pt>
                <c:pt idx="94">
                  <c:v>5640</c:v>
                </c:pt>
                <c:pt idx="95">
                  <c:v>5700</c:v>
                </c:pt>
                <c:pt idx="96">
                  <c:v>5760</c:v>
                </c:pt>
                <c:pt idx="97">
                  <c:v>5820</c:v>
                </c:pt>
                <c:pt idx="98">
                  <c:v>5880</c:v>
                </c:pt>
                <c:pt idx="99">
                  <c:v>5940</c:v>
                </c:pt>
                <c:pt idx="100">
                  <c:v>6000</c:v>
                </c:pt>
              </c:numCache>
            </c:numRef>
          </c:xVal>
          <c:yVal>
            <c:numRef>
              <c:f>Corrección!$F$626:$F$726</c:f>
              <c:numCache>
                <c:formatCode>0.0000</c:formatCode>
                <c:ptCount val="101"/>
                <c:pt idx="0">
                  <c:v>-0.20194848658088754</c:v>
                </c:pt>
                <c:pt idx="1">
                  <c:v>-0.19012909431081698</c:v>
                </c:pt>
                <c:pt idx="2">
                  <c:v>-0.1787133931336064</c:v>
                </c:pt>
                <c:pt idx="3">
                  <c:v>-0.16769176996826568</c:v>
                </c:pt>
                <c:pt idx="4">
                  <c:v>-0.15705461173380464</c:v>
                </c:pt>
                <c:pt idx="5">
                  <c:v>-0.14679230534923318</c:v>
                </c:pt>
                <c:pt idx="6">
                  <c:v>-0.1368952377335611</c:v>
                </c:pt>
                <c:pt idx="7">
                  <c:v>-0.12735379580579828</c:v>
                </c:pt>
                <c:pt idx="8">
                  <c:v>-0.11815836648495458</c:v>
                </c:pt>
                <c:pt idx="9">
                  <c:v>-0.10929933669003984</c:v>
                </c:pt>
                <c:pt idx="10">
                  <c:v>-0.10076709334006388</c:v>
                </c:pt>
                <c:pt idx="11">
                  <c:v>-9.2552023354036603E-2</c:v>
                </c:pt>
                <c:pt idx="12">
                  <c:v>-8.4644513650967812E-2</c:v>
                </c:pt>
                <c:pt idx="13">
                  <c:v>-7.7034951149867387E-2</c:v>
                </c:pt>
                <c:pt idx="14">
                  <c:v>-6.9713722769745204E-2</c:v>
                </c:pt>
                <c:pt idx="15">
                  <c:v>-6.2671215429611044E-2</c:v>
                </c:pt>
                <c:pt idx="16">
                  <c:v>-5.5897816048474797E-2</c:v>
                </c:pt>
                <c:pt idx="17">
                  <c:v>-4.9383911545346354E-2</c:v>
                </c:pt>
                <c:pt idx="18">
                  <c:v>-4.3119888839235503E-2</c:v>
                </c:pt>
                <c:pt idx="19">
                  <c:v>-3.7096134849152106E-2</c:v>
                </c:pt>
                <c:pt idx="20">
                  <c:v>-3.1303036494106054E-2</c:v>
                </c:pt>
                <c:pt idx="21">
                  <c:v>-2.5730980693107114E-2</c:v>
                </c:pt>
                <c:pt idx="22">
                  <c:v>-2.0370354365165291E-2</c:v>
                </c:pt>
                <c:pt idx="23">
                  <c:v>-1.521154442929027E-2</c:v>
                </c:pt>
                <c:pt idx="24">
                  <c:v>-1.0244937804491986E-2</c:v>
                </c:pt>
                <c:pt idx="25">
                  <c:v>-5.4609214097802797E-3</c:v>
                </c:pt>
                <c:pt idx="26">
                  <c:v>-8.4988216416497994E-4</c:v>
                </c:pt>
                <c:pt idx="27">
                  <c:v>3.5977930133440361E-3</c:v>
                </c:pt>
                <c:pt idx="28">
                  <c:v>7.8917172037368602E-3</c:v>
                </c:pt>
                <c:pt idx="29">
                  <c:v>1.2041503488003771E-2</c:v>
                </c:pt>
                <c:pt idx="30">
                  <c:v>1.6056764947134872E-2</c:v>
                </c:pt>
                <c:pt idx="31">
                  <c:v>1.9947114662120277E-2</c:v>
                </c:pt>
                <c:pt idx="32">
                  <c:v>2.3722165713950139E-2</c:v>
                </c:pt>
                <c:pt idx="33">
                  <c:v>2.7391531183614599E-2</c:v>
                </c:pt>
                <c:pt idx="34">
                  <c:v>3.096482415210379E-2</c:v>
                </c:pt>
                <c:pt idx="35">
                  <c:v>3.4451657700407978E-2</c:v>
                </c:pt>
                <c:pt idx="36">
                  <c:v>3.786164490951717E-2</c:v>
                </c:pt>
                <c:pt idx="37">
                  <c:v>4.120439886042164E-2</c:v>
                </c:pt>
                <c:pt idx="38">
                  <c:v>4.4489532634111442E-2</c:v>
                </c:pt>
                <c:pt idx="39">
                  <c:v>4.7726659311576741E-2</c:v>
                </c:pt>
                <c:pt idx="40">
                  <c:v>5.0925391973807702E-2</c:v>
                </c:pt>
                <c:pt idx="41">
                  <c:v>5.4095343701794502E-2</c:v>
                </c:pt>
                <c:pt idx="42">
                  <c:v>5.724612757652732E-2</c:v>
                </c:pt>
                <c:pt idx="43">
                  <c:v>6.0387356678996029E-2</c:v>
                </c:pt>
                <c:pt idx="44">
                  <c:v>6.3528644090191128E-2</c:v>
                </c:pt>
                <c:pt idx="45">
                  <c:v>6.6679602891102668E-2</c:v>
                </c:pt>
                <c:pt idx="46">
                  <c:v>6.9849846162720719E-2</c:v>
                </c:pt>
                <c:pt idx="47">
                  <c:v>7.3048986986035486E-2</c:v>
                </c:pt>
                <c:pt idx="48">
                  <c:v>7.6286638442037064E-2</c:v>
                </c:pt>
                <c:pt idx="49">
                  <c:v>7.9572413611715742E-2</c:v>
                </c:pt>
                <c:pt idx="50">
                  <c:v>8.2915925576061422E-2</c:v>
                </c:pt>
                <c:pt idx="51">
                  <c:v>8.6326787416064504E-2</c:v>
                </c:pt>
                <c:pt idx="52">
                  <c:v>8.9814612212715E-2</c:v>
                </c:pt>
                <c:pt idx="53">
                  <c:v>9.3389013047003006E-2</c:v>
                </c:pt>
                <c:pt idx="54">
                  <c:v>9.7059602999918948E-2</c:v>
                </c:pt>
                <c:pt idx="55">
                  <c:v>0.10083599515245262</c:v>
                </c:pt>
                <c:pt idx="56">
                  <c:v>0.10472780258559433</c:v>
                </c:pt>
                <c:pt idx="57">
                  <c:v>0.10874463838033438</c:v>
                </c:pt>
                <c:pt idx="58">
                  <c:v>0.11289611561766261</c:v>
                </c:pt>
                <c:pt idx="59">
                  <c:v>0.11719184737856941</c:v>
                </c:pt>
                <c:pt idx="60">
                  <c:v>0.12164144674404498</c:v>
                </c:pt>
                <c:pt idx="61">
                  <c:v>0.12625452679507915</c:v>
                </c:pt>
                <c:pt idx="62">
                  <c:v>0.13104070061266238</c:v>
                </c:pt>
                <c:pt idx="63">
                  <c:v>0.13600958127778451</c:v>
                </c:pt>
                <c:pt idx="64">
                  <c:v>0.14117078187143606</c:v>
                </c:pt>
                <c:pt idx="65">
                  <c:v>0.1465339154746067</c:v>
                </c:pt>
                <c:pt idx="66">
                  <c:v>0.15210859516828718</c:v>
                </c:pt>
                <c:pt idx="67">
                  <c:v>0.15790443403346716</c:v>
                </c:pt>
                <c:pt idx="68">
                  <c:v>0.16393104515113688</c:v>
                </c:pt>
                <c:pt idx="69">
                  <c:v>0.17019804160228702</c:v>
                </c:pt>
                <c:pt idx="70">
                  <c:v>0.17671503646790687</c:v>
                </c:pt>
                <c:pt idx="71">
                  <c:v>0.18349164282898722</c:v>
                </c:pt>
                <c:pt idx="72">
                  <c:v>0.19053747376651764</c:v>
                </c:pt>
                <c:pt idx="73">
                  <c:v>0.19786214236148936</c:v>
                </c:pt>
                <c:pt idx="74">
                  <c:v>0.20547526169489105</c:v>
                </c:pt>
                <c:pt idx="75">
                  <c:v>0.21338644484771407</c:v>
                </c:pt>
                <c:pt idx="76">
                  <c:v>0.22160530490094776</c:v>
                </c:pt>
                <c:pt idx="77">
                  <c:v>0.23014145493558325</c:v>
                </c:pt>
                <c:pt idx="78">
                  <c:v>0.23900450803260909</c:v>
                </c:pt>
                <c:pt idx="79">
                  <c:v>0.24820407727301719</c:v>
                </c:pt>
                <c:pt idx="80">
                  <c:v>0.25774977573779656</c:v>
                </c:pt>
                <c:pt idx="81">
                  <c:v>0.26765121650793788</c:v>
                </c:pt>
                <c:pt idx="82">
                  <c:v>0.27791801266443095</c:v>
                </c:pt>
                <c:pt idx="83">
                  <c:v>0.28855977728826609</c:v>
                </c:pt>
                <c:pt idx="84">
                  <c:v>0.29958612346043367</c:v>
                </c:pt>
                <c:pt idx="85">
                  <c:v>0.31100666426192336</c:v>
                </c:pt>
                <c:pt idx="86">
                  <c:v>0.32283101277372528</c:v>
                </c:pt>
                <c:pt idx="87">
                  <c:v>0.33506878207683011</c:v>
                </c:pt>
                <c:pt idx="88">
                  <c:v>0.34772958525222797</c:v>
                </c:pt>
                <c:pt idx="89">
                  <c:v>0.36082303538090876</c:v>
                </c:pt>
                <c:pt idx="90">
                  <c:v>0.37435874554386261</c:v>
                </c:pt>
                <c:pt idx="91">
                  <c:v>0.38834632882207964</c:v>
                </c:pt>
                <c:pt idx="92">
                  <c:v>0.40279539829654998</c:v>
                </c:pt>
                <c:pt idx="93">
                  <c:v>0.41771556704826396</c:v>
                </c:pt>
                <c:pt idx="94">
                  <c:v>0.43311644815821171</c:v>
                </c:pt>
                <c:pt idx="95">
                  <c:v>0.44900765470738313</c:v>
                </c:pt>
                <c:pt idx="96">
                  <c:v>0.46539879977676857</c:v>
                </c:pt>
                <c:pt idx="97">
                  <c:v>0.48229949644735837</c:v>
                </c:pt>
                <c:pt idx="98">
                  <c:v>0.49971935780014265</c:v>
                </c:pt>
                <c:pt idx="99">
                  <c:v>0.51766799691611087</c:v>
                </c:pt>
                <c:pt idx="100">
                  <c:v>0.53615502687625383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5E-404C-9353-4E761367096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plus>
            <c:min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Corrección!$C$117:$C$127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100</c:v>
                </c:pt>
                <c:pt idx="5">
                  <c:v>1000</c:v>
                </c:pt>
                <c:pt idx="6">
                  <c:v>2000</c:v>
                </c:pt>
                <c:pt idx="7">
                  <c:v>3000</c:v>
                </c:pt>
                <c:pt idx="8">
                  <c:v>4000</c:v>
                </c:pt>
                <c:pt idx="9">
                  <c:v>5000</c:v>
                </c:pt>
                <c:pt idx="10">
                  <c:v>6000</c:v>
                </c:pt>
              </c:numCache>
            </c:numRef>
          </c:xVal>
          <c:yVal>
            <c:numRef>
              <c:f>Corrección!$D$117:$D$127</c:f>
              <c:numCache>
                <c:formatCode>General</c:formatCode>
                <c:ptCount val="11"/>
                <c:pt idx="0">
                  <c:v>-0.1</c:v>
                </c:pt>
                <c:pt idx="1">
                  <c:v>-0.33</c:v>
                </c:pt>
                <c:pt idx="2">
                  <c:v>-0.15</c:v>
                </c:pt>
                <c:pt idx="3">
                  <c:v>-0.2</c:v>
                </c:pt>
                <c:pt idx="4">
                  <c:v>-0.12</c:v>
                </c:pt>
                <c:pt idx="5">
                  <c:v>-0.27</c:v>
                </c:pt>
                <c:pt idx="6">
                  <c:v>0.13</c:v>
                </c:pt>
                <c:pt idx="7">
                  <c:v>0.25</c:v>
                </c:pt>
                <c:pt idx="8">
                  <c:v>0</c:v>
                </c:pt>
                <c:pt idx="9">
                  <c:v>0.28999999999999998</c:v>
                </c:pt>
                <c:pt idx="10">
                  <c:v>0.56000000000000005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5E-404C-9353-4E7613670964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Corrección!$F$171:$F$180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Corrección!$F$171:$F$180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Corrección!$C$171:$C$180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Corrección!$D$171:$D$180</c:f>
              <c:numCache>
                <c:formatCode>0.0000</c:formatCode>
                <c:ptCount val="10"/>
                <c:pt idx="0">
                  <c:v>-0.20194848658088754</c:v>
                </c:pt>
                <c:pt idx="1">
                  <c:v>-0.20194848658088754</c:v>
                </c:pt>
                <c:pt idx="2">
                  <c:v>-0.20194848658088754</c:v>
                </c:pt>
                <c:pt idx="3">
                  <c:v>-0.20194848658088754</c:v>
                </c:pt>
                <c:pt idx="4">
                  <c:v>-0.20194848658088754</c:v>
                </c:pt>
                <c:pt idx="5">
                  <c:v>-0.20194848658088754</c:v>
                </c:pt>
                <c:pt idx="6">
                  <c:v>-0.20194848658088754</c:v>
                </c:pt>
                <c:pt idx="7">
                  <c:v>-0.20194848658088754</c:v>
                </c:pt>
                <c:pt idx="8">
                  <c:v>-0.20194848658088754</c:v>
                </c:pt>
                <c:pt idx="9">
                  <c:v>-0.20194848658088754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B5E-404C-9353-4E7613670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Corrección!$E$626:$E$726</c:f>
              <c:numCache>
                <c:formatCode>0.0000</c:formatCode>
                <c:ptCount val="101"/>
                <c:pt idx="0">
                  <c:v>0</c:v>
                </c:pt>
                <c:pt idx="1">
                  <c:v>60</c:v>
                </c:pt>
                <c:pt idx="2">
                  <c:v>120</c:v>
                </c:pt>
                <c:pt idx="3">
                  <c:v>180</c:v>
                </c:pt>
                <c:pt idx="4">
                  <c:v>240</c:v>
                </c:pt>
                <c:pt idx="5">
                  <c:v>300</c:v>
                </c:pt>
                <c:pt idx="6">
                  <c:v>360</c:v>
                </c:pt>
                <c:pt idx="7">
                  <c:v>420</c:v>
                </c:pt>
                <c:pt idx="8">
                  <c:v>480</c:v>
                </c:pt>
                <c:pt idx="9">
                  <c:v>540</c:v>
                </c:pt>
                <c:pt idx="10">
                  <c:v>600</c:v>
                </c:pt>
                <c:pt idx="11">
                  <c:v>660</c:v>
                </c:pt>
                <c:pt idx="12">
                  <c:v>720</c:v>
                </c:pt>
                <c:pt idx="13">
                  <c:v>780</c:v>
                </c:pt>
                <c:pt idx="14">
                  <c:v>840</c:v>
                </c:pt>
                <c:pt idx="15">
                  <c:v>900</c:v>
                </c:pt>
                <c:pt idx="16">
                  <c:v>960</c:v>
                </c:pt>
                <c:pt idx="17">
                  <c:v>1020</c:v>
                </c:pt>
                <c:pt idx="18">
                  <c:v>1080</c:v>
                </c:pt>
                <c:pt idx="19">
                  <c:v>1140</c:v>
                </c:pt>
                <c:pt idx="20">
                  <c:v>1200</c:v>
                </c:pt>
                <c:pt idx="21">
                  <c:v>1260</c:v>
                </c:pt>
                <c:pt idx="22">
                  <c:v>1320</c:v>
                </c:pt>
                <c:pt idx="23">
                  <c:v>1380</c:v>
                </c:pt>
                <c:pt idx="24">
                  <c:v>1440</c:v>
                </c:pt>
                <c:pt idx="25">
                  <c:v>1500</c:v>
                </c:pt>
                <c:pt idx="26">
                  <c:v>1560</c:v>
                </c:pt>
                <c:pt idx="27">
                  <c:v>1620</c:v>
                </c:pt>
                <c:pt idx="28">
                  <c:v>1680</c:v>
                </c:pt>
                <c:pt idx="29">
                  <c:v>1740</c:v>
                </c:pt>
                <c:pt idx="30">
                  <c:v>1800</c:v>
                </c:pt>
                <c:pt idx="31">
                  <c:v>1860</c:v>
                </c:pt>
                <c:pt idx="32">
                  <c:v>1920</c:v>
                </c:pt>
                <c:pt idx="33">
                  <c:v>1980</c:v>
                </c:pt>
                <c:pt idx="34">
                  <c:v>2040</c:v>
                </c:pt>
                <c:pt idx="35">
                  <c:v>2100</c:v>
                </c:pt>
                <c:pt idx="36">
                  <c:v>2160</c:v>
                </c:pt>
                <c:pt idx="37">
                  <c:v>2220</c:v>
                </c:pt>
                <c:pt idx="38">
                  <c:v>2280</c:v>
                </c:pt>
                <c:pt idx="39">
                  <c:v>2340</c:v>
                </c:pt>
                <c:pt idx="40">
                  <c:v>2400</c:v>
                </c:pt>
                <c:pt idx="41">
                  <c:v>2460</c:v>
                </c:pt>
                <c:pt idx="42">
                  <c:v>2520</c:v>
                </c:pt>
                <c:pt idx="43">
                  <c:v>2580</c:v>
                </c:pt>
                <c:pt idx="44">
                  <c:v>2640</c:v>
                </c:pt>
                <c:pt idx="45">
                  <c:v>2700</c:v>
                </c:pt>
                <c:pt idx="46">
                  <c:v>2760</c:v>
                </c:pt>
                <c:pt idx="47">
                  <c:v>2820</c:v>
                </c:pt>
                <c:pt idx="48">
                  <c:v>2880</c:v>
                </c:pt>
                <c:pt idx="49">
                  <c:v>2940</c:v>
                </c:pt>
                <c:pt idx="50">
                  <c:v>3000</c:v>
                </c:pt>
                <c:pt idx="51">
                  <c:v>3060</c:v>
                </c:pt>
                <c:pt idx="52">
                  <c:v>3120</c:v>
                </c:pt>
                <c:pt idx="53">
                  <c:v>3180</c:v>
                </c:pt>
                <c:pt idx="54">
                  <c:v>3240</c:v>
                </c:pt>
                <c:pt idx="55">
                  <c:v>3300</c:v>
                </c:pt>
                <c:pt idx="56">
                  <c:v>3360</c:v>
                </c:pt>
                <c:pt idx="57">
                  <c:v>3420</c:v>
                </c:pt>
                <c:pt idx="58">
                  <c:v>3480</c:v>
                </c:pt>
                <c:pt idx="59">
                  <c:v>3540</c:v>
                </c:pt>
                <c:pt idx="60">
                  <c:v>3600</c:v>
                </c:pt>
                <c:pt idx="61">
                  <c:v>3660</c:v>
                </c:pt>
                <c:pt idx="62">
                  <c:v>3720</c:v>
                </c:pt>
                <c:pt idx="63">
                  <c:v>3780</c:v>
                </c:pt>
                <c:pt idx="64">
                  <c:v>3840</c:v>
                </c:pt>
                <c:pt idx="65">
                  <c:v>3900</c:v>
                </c:pt>
                <c:pt idx="66">
                  <c:v>3960</c:v>
                </c:pt>
                <c:pt idx="67">
                  <c:v>4020</c:v>
                </c:pt>
                <c:pt idx="68">
                  <c:v>4080</c:v>
                </c:pt>
                <c:pt idx="69">
                  <c:v>4140</c:v>
                </c:pt>
                <c:pt idx="70">
                  <c:v>4200</c:v>
                </c:pt>
                <c:pt idx="71">
                  <c:v>4260</c:v>
                </c:pt>
                <c:pt idx="72">
                  <c:v>4320</c:v>
                </c:pt>
                <c:pt idx="73">
                  <c:v>4380</c:v>
                </c:pt>
                <c:pt idx="74">
                  <c:v>4440</c:v>
                </c:pt>
                <c:pt idx="75">
                  <c:v>4500</c:v>
                </c:pt>
                <c:pt idx="76">
                  <c:v>4560</c:v>
                </c:pt>
                <c:pt idx="77">
                  <c:v>4620</c:v>
                </c:pt>
                <c:pt idx="78">
                  <c:v>4680</c:v>
                </c:pt>
                <c:pt idx="79">
                  <c:v>4740</c:v>
                </c:pt>
                <c:pt idx="80">
                  <c:v>4800</c:v>
                </c:pt>
                <c:pt idx="81">
                  <c:v>4860</c:v>
                </c:pt>
                <c:pt idx="82">
                  <c:v>4920</c:v>
                </c:pt>
                <c:pt idx="83">
                  <c:v>4980</c:v>
                </c:pt>
                <c:pt idx="84">
                  <c:v>5040</c:v>
                </c:pt>
                <c:pt idx="85">
                  <c:v>5100</c:v>
                </c:pt>
                <c:pt idx="86">
                  <c:v>5160</c:v>
                </c:pt>
                <c:pt idx="87">
                  <c:v>5220</c:v>
                </c:pt>
                <c:pt idx="88">
                  <c:v>5280</c:v>
                </c:pt>
                <c:pt idx="89">
                  <c:v>5340</c:v>
                </c:pt>
                <c:pt idx="90">
                  <c:v>5400</c:v>
                </c:pt>
                <c:pt idx="91">
                  <c:v>5460</c:v>
                </c:pt>
                <c:pt idx="92">
                  <c:v>5520</c:v>
                </c:pt>
                <c:pt idx="93">
                  <c:v>5580</c:v>
                </c:pt>
                <c:pt idx="94">
                  <c:v>5640</c:v>
                </c:pt>
                <c:pt idx="95">
                  <c:v>5700</c:v>
                </c:pt>
                <c:pt idx="96">
                  <c:v>5760</c:v>
                </c:pt>
                <c:pt idx="97">
                  <c:v>5820</c:v>
                </c:pt>
                <c:pt idx="98">
                  <c:v>5880</c:v>
                </c:pt>
                <c:pt idx="99">
                  <c:v>5940</c:v>
                </c:pt>
                <c:pt idx="100">
                  <c:v>6000</c:v>
                </c:pt>
              </c:numCache>
            </c:numRef>
          </c:xVal>
          <c:yVal>
            <c:numRef>
              <c:f>Corrección!$F$626:$F$726</c:f>
              <c:numCache>
                <c:formatCode>0.0000</c:formatCode>
                <c:ptCount val="101"/>
                <c:pt idx="0">
                  <c:v>-0.20194848658088754</c:v>
                </c:pt>
                <c:pt idx="1">
                  <c:v>-0.19012909431081698</c:v>
                </c:pt>
                <c:pt idx="2">
                  <c:v>-0.1787133931336064</c:v>
                </c:pt>
                <c:pt idx="3">
                  <c:v>-0.16769176996826568</c:v>
                </c:pt>
                <c:pt idx="4">
                  <c:v>-0.15705461173380464</c:v>
                </c:pt>
                <c:pt idx="5">
                  <c:v>-0.14679230534923318</c:v>
                </c:pt>
                <c:pt idx="6">
                  <c:v>-0.1368952377335611</c:v>
                </c:pt>
                <c:pt idx="7">
                  <c:v>-0.12735379580579828</c:v>
                </c:pt>
                <c:pt idx="8">
                  <c:v>-0.11815836648495458</c:v>
                </c:pt>
                <c:pt idx="9">
                  <c:v>-0.10929933669003984</c:v>
                </c:pt>
                <c:pt idx="10">
                  <c:v>-0.10076709334006388</c:v>
                </c:pt>
                <c:pt idx="11">
                  <c:v>-9.2552023354036603E-2</c:v>
                </c:pt>
                <c:pt idx="12">
                  <c:v>-8.4644513650967812E-2</c:v>
                </c:pt>
                <c:pt idx="13">
                  <c:v>-7.7034951149867387E-2</c:v>
                </c:pt>
                <c:pt idx="14">
                  <c:v>-6.9713722769745204E-2</c:v>
                </c:pt>
                <c:pt idx="15">
                  <c:v>-6.2671215429611044E-2</c:v>
                </c:pt>
                <c:pt idx="16">
                  <c:v>-5.5897816048474797E-2</c:v>
                </c:pt>
                <c:pt idx="17">
                  <c:v>-4.9383911545346354E-2</c:v>
                </c:pt>
                <c:pt idx="18">
                  <c:v>-4.3119888839235503E-2</c:v>
                </c:pt>
                <c:pt idx="19">
                  <c:v>-3.7096134849152106E-2</c:v>
                </c:pt>
                <c:pt idx="20">
                  <c:v>-3.1303036494106054E-2</c:v>
                </c:pt>
                <c:pt idx="21">
                  <c:v>-2.5730980693107114E-2</c:v>
                </c:pt>
                <c:pt idx="22">
                  <c:v>-2.0370354365165291E-2</c:v>
                </c:pt>
                <c:pt idx="23">
                  <c:v>-1.521154442929027E-2</c:v>
                </c:pt>
                <c:pt idx="24">
                  <c:v>-1.0244937804491986E-2</c:v>
                </c:pt>
                <c:pt idx="25">
                  <c:v>-5.4609214097802797E-3</c:v>
                </c:pt>
                <c:pt idx="26">
                  <c:v>-8.4988216416497994E-4</c:v>
                </c:pt>
                <c:pt idx="27">
                  <c:v>3.5977930133440361E-3</c:v>
                </c:pt>
                <c:pt idx="28">
                  <c:v>7.8917172037368602E-3</c:v>
                </c:pt>
                <c:pt idx="29">
                  <c:v>1.2041503488003771E-2</c:v>
                </c:pt>
                <c:pt idx="30">
                  <c:v>1.6056764947134872E-2</c:v>
                </c:pt>
                <c:pt idx="31">
                  <c:v>1.9947114662120277E-2</c:v>
                </c:pt>
                <c:pt idx="32">
                  <c:v>2.3722165713950139E-2</c:v>
                </c:pt>
                <c:pt idx="33">
                  <c:v>2.7391531183614599E-2</c:v>
                </c:pt>
                <c:pt idx="34">
                  <c:v>3.096482415210379E-2</c:v>
                </c:pt>
                <c:pt idx="35">
                  <c:v>3.4451657700407978E-2</c:v>
                </c:pt>
                <c:pt idx="36">
                  <c:v>3.786164490951717E-2</c:v>
                </c:pt>
                <c:pt idx="37">
                  <c:v>4.120439886042164E-2</c:v>
                </c:pt>
                <c:pt idx="38">
                  <c:v>4.4489532634111442E-2</c:v>
                </c:pt>
                <c:pt idx="39">
                  <c:v>4.7726659311576741E-2</c:v>
                </c:pt>
                <c:pt idx="40">
                  <c:v>5.0925391973807702E-2</c:v>
                </c:pt>
                <c:pt idx="41">
                  <c:v>5.4095343701794502E-2</c:v>
                </c:pt>
                <c:pt idx="42">
                  <c:v>5.724612757652732E-2</c:v>
                </c:pt>
                <c:pt idx="43">
                  <c:v>6.0387356678996029E-2</c:v>
                </c:pt>
                <c:pt idx="44">
                  <c:v>6.3528644090191128E-2</c:v>
                </c:pt>
                <c:pt idx="45">
                  <c:v>6.6679602891102668E-2</c:v>
                </c:pt>
                <c:pt idx="46">
                  <c:v>6.9849846162720719E-2</c:v>
                </c:pt>
                <c:pt idx="47">
                  <c:v>7.3048986986035486E-2</c:v>
                </c:pt>
                <c:pt idx="48">
                  <c:v>7.6286638442037064E-2</c:v>
                </c:pt>
                <c:pt idx="49">
                  <c:v>7.9572413611715742E-2</c:v>
                </c:pt>
                <c:pt idx="50">
                  <c:v>8.2915925576061422E-2</c:v>
                </c:pt>
                <c:pt idx="51">
                  <c:v>8.6326787416064504E-2</c:v>
                </c:pt>
                <c:pt idx="52">
                  <c:v>8.9814612212715E-2</c:v>
                </c:pt>
                <c:pt idx="53">
                  <c:v>9.3389013047003006E-2</c:v>
                </c:pt>
                <c:pt idx="54">
                  <c:v>9.7059602999918948E-2</c:v>
                </c:pt>
                <c:pt idx="55">
                  <c:v>0.10083599515245262</c:v>
                </c:pt>
                <c:pt idx="56">
                  <c:v>0.10472780258559433</c:v>
                </c:pt>
                <c:pt idx="57">
                  <c:v>0.10874463838033438</c:v>
                </c:pt>
                <c:pt idx="58">
                  <c:v>0.11289611561766261</c:v>
                </c:pt>
                <c:pt idx="59">
                  <c:v>0.11719184737856941</c:v>
                </c:pt>
                <c:pt idx="60">
                  <c:v>0.12164144674404498</c:v>
                </c:pt>
                <c:pt idx="61">
                  <c:v>0.12625452679507915</c:v>
                </c:pt>
                <c:pt idx="62">
                  <c:v>0.13104070061266238</c:v>
                </c:pt>
                <c:pt idx="63">
                  <c:v>0.13600958127778451</c:v>
                </c:pt>
                <c:pt idx="64">
                  <c:v>0.14117078187143606</c:v>
                </c:pt>
                <c:pt idx="65">
                  <c:v>0.1465339154746067</c:v>
                </c:pt>
                <c:pt idx="66">
                  <c:v>0.15210859516828718</c:v>
                </c:pt>
                <c:pt idx="67">
                  <c:v>0.15790443403346716</c:v>
                </c:pt>
                <c:pt idx="68">
                  <c:v>0.16393104515113688</c:v>
                </c:pt>
                <c:pt idx="69">
                  <c:v>0.17019804160228702</c:v>
                </c:pt>
                <c:pt idx="70">
                  <c:v>0.17671503646790687</c:v>
                </c:pt>
                <c:pt idx="71">
                  <c:v>0.18349164282898722</c:v>
                </c:pt>
                <c:pt idx="72">
                  <c:v>0.19053747376651764</c:v>
                </c:pt>
                <c:pt idx="73">
                  <c:v>0.19786214236148936</c:v>
                </c:pt>
                <c:pt idx="74">
                  <c:v>0.20547526169489105</c:v>
                </c:pt>
                <c:pt idx="75">
                  <c:v>0.21338644484771407</c:v>
                </c:pt>
                <c:pt idx="76">
                  <c:v>0.22160530490094776</c:v>
                </c:pt>
                <c:pt idx="77">
                  <c:v>0.23014145493558325</c:v>
                </c:pt>
                <c:pt idx="78">
                  <c:v>0.23900450803260909</c:v>
                </c:pt>
                <c:pt idx="79">
                  <c:v>0.24820407727301719</c:v>
                </c:pt>
                <c:pt idx="80">
                  <c:v>0.25774977573779656</c:v>
                </c:pt>
                <c:pt idx="81">
                  <c:v>0.26765121650793788</c:v>
                </c:pt>
                <c:pt idx="82">
                  <c:v>0.27791801266443095</c:v>
                </c:pt>
                <c:pt idx="83">
                  <c:v>0.28855977728826609</c:v>
                </c:pt>
                <c:pt idx="84">
                  <c:v>0.29958612346043367</c:v>
                </c:pt>
                <c:pt idx="85">
                  <c:v>0.31100666426192336</c:v>
                </c:pt>
                <c:pt idx="86">
                  <c:v>0.32283101277372528</c:v>
                </c:pt>
                <c:pt idx="87">
                  <c:v>0.33506878207683011</c:v>
                </c:pt>
                <c:pt idx="88">
                  <c:v>0.34772958525222797</c:v>
                </c:pt>
                <c:pt idx="89">
                  <c:v>0.36082303538090876</c:v>
                </c:pt>
                <c:pt idx="90">
                  <c:v>0.37435874554386261</c:v>
                </c:pt>
                <c:pt idx="91">
                  <c:v>0.38834632882207964</c:v>
                </c:pt>
                <c:pt idx="92">
                  <c:v>0.40279539829654998</c:v>
                </c:pt>
                <c:pt idx="93">
                  <c:v>0.41771556704826396</c:v>
                </c:pt>
                <c:pt idx="94">
                  <c:v>0.43311644815821171</c:v>
                </c:pt>
                <c:pt idx="95">
                  <c:v>0.44900765470738313</c:v>
                </c:pt>
                <c:pt idx="96">
                  <c:v>0.46539879977676857</c:v>
                </c:pt>
                <c:pt idx="97">
                  <c:v>0.48229949644735837</c:v>
                </c:pt>
                <c:pt idx="98">
                  <c:v>0.49971935780014265</c:v>
                </c:pt>
                <c:pt idx="99">
                  <c:v>0.51766799691611087</c:v>
                </c:pt>
                <c:pt idx="100">
                  <c:v>0.53615502687625383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75-44D4-B7CC-E468C2740FA8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plus>
            <c:min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Corrección!$C$117:$C$127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100</c:v>
                </c:pt>
                <c:pt idx="5">
                  <c:v>1000</c:v>
                </c:pt>
                <c:pt idx="6">
                  <c:v>2000</c:v>
                </c:pt>
                <c:pt idx="7">
                  <c:v>3000</c:v>
                </c:pt>
                <c:pt idx="8">
                  <c:v>4000</c:v>
                </c:pt>
                <c:pt idx="9">
                  <c:v>5000</c:v>
                </c:pt>
                <c:pt idx="10">
                  <c:v>6000</c:v>
                </c:pt>
              </c:numCache>
            </c:numRef>
          </c:xVal>
          <c:yVal>
            <c:numRef>
              <c:f>Corrección!$D$117:$D$127</c:f>
              <c:numCache>
                <c:formatCode>General</c:formatCode>
                <c:ptCount val="11"/>
                <c:pt idx="0">
                  <c:v>-0.1</c:v>
                </c:pt>
                <c:pt idx="1">
                  <c:v>-0.33</c:v>
                </c:pt>
                <c:pt idx="2">
                  <c:v>-0.15</c:v>
                </c:pt>
                <c:pt idx="3">
                  <c:v>-0.2</c:v>
                </c:pt>
                <c:pt idx="4">
                  <c:v>-0.12</c:v>
                </c:pt>
                <c:pt idx="5">
                  <c:v>-0.27</c:v>
                </c:pt>
                <c:pt idx="6">
                  <c:v>0.13</c:v>
                </c:pt>
                <c:pt idx="7">
                  <c:v>0.25</c:v>
                </c:pt>
                <c:pt idx="8">
                  <c:v>0</c:v>
                </c:pt>
                <c:pt idx="9">
                  <c:v>0.28999999999999998</c:v>
                </c:pt>
                <c:pt idx="10">
                  <c:v>0.56000000000000005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75-44D4-B7CC-E468C2740FA8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Corrección!$F$191:$F$200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Corrección!$F$191:$F$200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Corrección!$C$191:$C$200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Corrección!$D$191:$D$200</c:f>
              <c:numCache>
                <c:formatCode>0.0000</c:formatCode>
                <c:ptCount val="10"/>
                <c:pt idx="0">
                  <c:v>-0.20194848658088754</c:v>
                </c:pt>
                <c:pt idx="1">
                  <c:v>-0.20194848658088754</c:v>
                </c:pt>
                <c:pt idx="2">
                  <c:v>-0.20194848658088754</c:v>
                </c:pt>
                <c:pt idx="3">
                  <c:v>-0.20194848658088754</c:v>
                </c:pt>
                <c:pt idx="4">
                  <c:v>-0.20194848658088754</c:v>
                </c:pt>
                <c:pt idx="5">
                  <c:v>-0.20194848658088754</c:v>
                </c:pt>
                <c:pt idx="6">
                  <c:v>-0.20194848658088754</c:v>
                </c:pt>
                <c:pt idx="7">
                  <c:v>-0.20194848658088754</c:v>
                </c:pt>
                <c:pt idx="8">
                  <c:v>-0.20194848658088754</c:v>
                </c:pt>
                <c:pt idx="9">
                  <c:v>-0.20194848658088754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675-44D4-B7CC-E468C2740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Corrección!$G$626:$G$726</c:f>
              <c:numCache>
                <c:formatCode>0.0000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Corrección!$H$626:$H$726</c:f>
              <c:numCache>
                <c:formatCode>0.0000</c:formatCode>
                <c:ptCount val="101"/>
                <c:pt idx="0">
                  <c:v>-1.6783216783218258E-3</c:v>
                </c:pt>
                <c:pt idx="1">
                  <c:v>1.988487762237745E-2</c:v>
                </c:pt>
                <c:pt idx="2">
                  <c:v>3.9998135198135006E-2</c:v>
                </c:pt>
                <c:pt idx="3">
                  <c:v>5.869204545454524E-2</c:v>
                </c:pt>
                <c:pt idx="4">
                  <c:v>7.5997202797202568E-2</c:v>
                </c:pt>
                <c:pt idx="5">
                  <c:v>9.1944201631701403E-2</c:v>
                </c:pt>
                <c:pt idx="6">
                  <c:v>0.1065636363636361</c:v>
                </c:pt>
                <c:pt idx="7">
                  <c:v>0.11988610139860113</c:v>
                </c:pt>
                <c:pt idx="8">
                  <c:v>0.13194219114219086</c:v>
                </c:pt>
                <c:pt idx="9">
                  <c:v>0.14276249999999971</c:v>
                </c:pt>
                <c:pt idx="10">
                  <c:v>0.15237762237762209</c:v>
                </c:pt>
                <c:pt idx="11">
                  <c:v>0.16081815268065239</c:v>
                </c:pt>
                <c:pt idx="12">
                  <c:v>0.16811468531468499</c:v>
                </c:pt>
                <c:pt idx="13">
                  <c:v>0.17429781468531438</c:v>
                </c:pt>
                <c:pt idx="14">
                  <c:v>0.17939813519813486</c:v>
                </c:pt>
                <c:pt idx="15">
                  <c:v>0.18344624125874096</c:v>
                </c:pt>
                <c:pt idx="16">
                  <c:v>0.18647272727272693</c:v>
                </c:pt>
                <c:pt idx="17">
                  <c:v>0.18850818764568733</c:v>
                </c:pt>
                <c:pt idx="18">
                  <c:v>0.18958321678321646</c:v>
                </c:pt>
                <c:pt idx="19">
                  <c:v>0.1897284090909088</c:v>
                </c:pt>
                <c:pt idx="20">
                  <c:v>0.18897435897435871</c:v>
                </c:pt>
                <c:pt idx="21">
                  <c:v>0.18735166083916055</c:v>
                </c:pt>
                <c:pt idx="22">
                  <c:v>0.1848909090909088</c:v>
                </c:pt>
                <c:pt idx="23">
                  <c:v>0.1816226981351978</c:v>
                </c:pt>
                <c:pt idx="24">
                  <c:v>0.17757762237762209</c:v>
                </c:pt>
                <c:pt idx="25">
                  <c:v>0.17278627622377596</c:v>
                </c:pt>
                <c:pt idx="26">
                  <c:v>0.16727925407925381</c:v>
                </c:pt>
                <c:pt idx="27">
                  <c:v>0.16108715034965015</c:v>
                </c:pt>
                <c:pt idx="28">
                  <c:v>0.15424055944055912</c:v>
                </c:pt>
                <c:pt idx="29">
                  <c:v>0.14677007575757556</c:v>
                </c:pt>
                <c:pt idx="30">
                  <c:v>0.1387062937062935</c:v>
                </c:pt>
                <c:pt idx="31">
                  <c:v>0.13007980769230762</c:v>
                </c:pt>
                <c:pt idx="32">
                  <c:v>0.12092121212121187</c:v>
                </c:pt>
                <c:pt idx="33">
                  <c:v>0.11126110139860121</c:v>
                </c:pt>
                <c:pt idx="34">
                  <c:v>0.10113006993006979</c:v>
                </c:pt>
                <c:pt idx="35">
                  <c:v>9.0558712121212054E-2</c:v>
                </c:pt>
                <c:pt idx="36">
                  <c:v>7.9577622377622226E-2</c:v>
                </c:pt>
                <c:pt idx="37">
                  <c:v>6.8217395104895051E-2</c:v>
                </c:pt>
                <c:pt idx="38">
                  <c:v>5.6508624708624611E-2</c:v>
                </c:pt>
                <c:pt idx="39">
                  <c:v>4.4481905594405569E-2</c:v>
                </c:pt>
                <c:pt idx="40">
                  <c:v>3.2167832167832144E-2</c:v>
                </c:pt>
                <c:pt idx="41">
                  <c:v>1.9596998834498947E-2</c:v>
                </c:pt>
                <c:pt idx="42">
                  <c:v>6.8000000000000282E-3</c:v>
                </c:pt>
                <c:pt idx="43">
                  <c:v>-6.1925699300700021E-3</c:v>
                </c:pt>
                <c:pt idx="44">
                  <c:v>-1.9350116550116481E-2</c:v>
                </c:pt>
                <c:pt idx="45">
                  <c:v>-3.2642045454545299E-2</c:v>
                </c:pt>
                <c:pt idx="46">
                  <c:v>-4.6037762237762292E-2</c:v>
                </c:pt>
                <c:pt idx="47">
                  <c:v>-5.9506672494172519E-2</c:v>
                </c:pt>
                <c:pt idx="48">
                  <c:v>-7.301818181818176E-2</c:v>
                </c:pt>
                <c:pt idx="49">
                  <c:v>-8.6541695804195684E-2</c:v>
                </c:pt>
                <c:pt idx="50">
                  <c:v>-0.10004662004661991</c:v>
                </c:pt>
                <c:pt idx="51">
                  <c:v>-0.11350236013986004</c:v>
                </c:pt>
                <c:pt idx="52">
                  <c:v>-0.12687832167832147</c:v>
                </c:pt>
                <c:pt idx="53">
                  <c:v>-0.14014391025641015</c:v>
                </c:pt>
                <c:pt idx="54">
                  <c:v>-0.15326853146853114</c:v>
                </c:pt>
                <c:pt idx="55">
                  <c:v>-0.16622159090909083</c:v>
                </c:pt>
                <c:pt idx="56">
                  <c:v>-0.17897249417249439</c:v>
                </c:pt>
                <c:pt idx="57">
                  <c:v>-0.19149064685314687</c:v>
                </c:pt>
                <c:pt idx="58">
                  <c:v>-0.20374545454545434</c:v>
                </c:pt>
                <c:pt idx="59">
                  <c:v>-0.21570632284382252</c:v>
                </c:pt>
                <c:pt idx="60">
                  <c:v>-0.22734265734265713</c:v>
                </c:pt>
                <c:pt idx="61">
                  <c:v>-0.23862386363636379</c:v>
                </c:pt>
                <c:pt idx="62">
                  <c:v>-0.24951934731934666</c:v>
                </c:pt>
                <c:pt idx="63">
                  <c:v>-0.25999851398601348</c:v>
                </c:pt>
                <c:pt idx="64">
                  <c:v>-0.27003076923076907</c:v>
                </c:pt>
                <c:pt idx="65">
                  <c:v>-0.27958551864801806</c:v>
                </c:pt>
                <c:pt idx="66">
                  <c:v>-0.2886321678321675</c:v>
                </c:pt>
                <c:pt idx="67">
                  <c:v>-0.29714012237762244</c:v>
                </c:pt>
                <c:pt idx="68">
                  <c:v>-0.30507878787878751</c:v>
                </c:pt>
                <c:pt idx="69">
                  <c:v>-0.31241756993006997</c:v>
                </c:pt>
                <c:pt idx="70">
                  <c:v>-0.31912587412587334</c:v>
                </c:pt>
                <c:pt idx="71">
                  <c:v>-0.32517310606060579</c:v>
                </c:pt>
                <c:pt idx="72">
                  <c:v>-0.33052867132867103</c:v>
                </c:pt>
                <c:pt idx="73">
                  <c:v>-0.3351619755244748</c:v>
                </c:pt>
                <c:pt idx="74">
                  <c:v>-0.33904242424242392</c:v>
                </c:pt>
                <c:pt idx="75">
                  <c:v>-0.3421394230769228</c:v>
                </c:pt>
                <c:pt idx="76">
                  <c:v>-0.3444223776223776</c:v>
                </c:pt>
                <c:pt idx="77">
                  <c:v>-0.34586069347319315</c:v>
                </c:pt>
                <c:pt idx="78">
                  <c:v>-0.34642377622377563</c:v>
                </c:pt>
                <c:pt idx="79">
                  <c:v>-0.3460810314685312</c:v>
                </c:pt>
                <c:pt idx="80">
                  <c:v>-0.3448018648018647</c:v>
                </c:pt>
                <c:pt idx="81">
                  <c:v>-0.34255568181818097</c:v>
                </c:pt>
                <c:pt idx="82">
                  <c:v>-0.33931188811188751</c:v>
                </c:pt>
                <c:pt idx="83">
                  <c:v>-0.3350398892773887</c:v>
                </c:pt>
                <c:pt idx="84">
                  <c:v>-0.32970909090909029</c:v>
                </c:pt>
                <c:pt idx="85">
                  <c:v>-0.32328889860139887</c:v>
                </c:pt>
                <c:pt idx="86">
                  <c:v>-0.31574871794871795</c:v>
                </c:pt>
                <c:pt idx="87">
                  <c:v>-0.30705795454545415</c:v>
                </c:pt>
                <c:pt idx="88">
                  <c:v>-0.29718601398601363</c:v>
                </c:pt>
                <c:pt idx="89">
                  <c:v>-0.28610230186480123</c:v>
                </c:pt>
                <c:pt idx="90">
                  <c:v>-0.27377622377622313</c:v>
                </c:pt>
                <c:pt idx="91">
                  <c:v>-0.26017718531468637</c:v>
                </c:pt>
                <c:pt idx="92">
                  <c:v>-0.24527459207459179</c:v>
                </c:pt>
                <c:pt idx="93">
                  <c:v>-0.22903784965034912</c:v>
                </c:pt>
                <c:pt idx="94">
                  <c:v>-0.21143636363636364</c:v>
                </c:pt>
                <c:pt idx="95">
                  <c:v>-0.1924395396270393</c:v>
                </c:pt>
                <c:pt idx="96">
                  <c:v>-0.17201678321678315</c:v>
                </c:pt>
                <c:pt idx="97">
                  <c:v>-0.15013750000000137</c:v>
                </c:pt>
                <c:pt idx="98">
                  <c:v>-0.12677109557109567</c:v>
                </c:pt>
                <c:pt idx="99">
                  <c:v>-0.10188697552447579</c:v>
                </c:pt>
                <c:pt idx="100">
                  <c:v>-7.5454545454546107E-2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10-4902-9331-146F71285BB7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plus>
            <c:min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Corrección!$C$213:$C$223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xVal>
          <c:yVal>
            <c:numRef>
              <c:f>Corrección!$D$213:$D$223</c:f>
              <c:numCache>
                <c:formatCode>General</c:formatCode>
                <c:ptCount val="11"/>
                <c:pt idx="0">
                  <c:v>0.01</c:v>
                </c:pt>
                <c:pt idx="1">
                  <c:v>0.12</c:v>
                </c:pt>
                <c:pt idx="2">
                  <c:v>0.18</c:v>
                </c:pt>
                <c:pt idx="3">
                  <c:v>0.17</c:v>
                </c:pt>
                <c:pt idx="4">
                  <c:v>0.08</c:v>
                </c:pt>
                <c:pt idx="5">
                  <c:v>-0.09</c:v>
                </c:pt>
                <c:pt idx="6">
                  <c:v>-0.28999999999999998</c:v>
                </c:pt>
                <c:pt idx="7">
                  <c:v>-0.4</c:v>
                </c:pt>
                <c:pt idx="8">
                  <c:v>-0.31</c:v>
                </c:pt>
                <c:pt idx="9">
                  <c:v>-0.16</c:v>
                </c:pt>
                <c:pt idx="10">
                  <c:v>-0.14000000000000001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10-4902-9331-146F71285BB7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Corrección!$F$257:$F$266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Corrección!$F$257:$F$266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Corrección!$C$257:$C$266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Corrección!$D$257:$D$266</c:f>
              <c:numCache>
                <c:formatCode>0.0000</c:formatCode>
                <c:ptCount val="10"/>
                <c:pt idx="0">
                  <c:v>-1.6783216783218258E-3</c:v>
                </c:pt>
                <c:pt idx="1">
                  <c:v>-1.6783216783218258E-3</c:v>
                </c:pt>
                <c:pt idx="2">
                  <c:v>-1.6783216783218258E-3</c:v>
                </c:pt>
                <c:pt idx="3">
                  <c:v>-1.6783216783218258E-3</c:v>
                </c:pt>
                <c:pt idx="4">
                  <c:v>-1.6783216783218258E-3</c:v>
                </c:pt>
                <c:pt idx="5">
                  <c:v>-1.6783216783218258E-3</c:v>
                </c:pt>
                <c:pt idx="6">
                  <c:v>-1.6783216783218258E-3</c:v>
                </c:pt>
                <c:pt idx="7">
                  <c:v>-1.6783216783218258E-3</c:v>
                </c:pt>
                <c:pt idx="8">
                  <c:v>-1.6783216783218258E-3</c:v>
                </c:pt>
                <c:pt idx="9">
                  <c:v>-1.6783216783218258E-3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10-4902-9331-146F71285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rgbClr val="002060"/>
                </a:solidFill>
              </a:rPr>
              <a:t>Histéresis</a:t>
            </a:r>
            <a:r>
              <a:rPr lang="en-US" sz="1800" b="1" baseline="0">
                <a:solidFill>
                  <a:srgbClr val="002060"/>
                </a:solidFill>
              </a:rPr>
              <a:t> de las correcciones promedio por tipo de prueba</a:t>
            </a:r>
            <a:endParaRPr lang="en-US" sz="180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2947969293353455E-2"/>
          <c:y val="1.73035288753205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Prueba promedio de descenso</c:v>
          </c:tx>
          <c:spPr>
            <a:ln w="1270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15875">
                <a:solidFill>
                  <a:srgbClr val="7030A0"/>
                </a:solidFill>
              </a:ln>
              <a:effectLst/>
            </c:spPr>
          </c:marker>
          <c:xVal>
            <c:numRef>
              <c:f>'Toma de datos'!$D$134:$D$143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datos'!$F$134:$F$143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B59-4D38-A035-64765F3C7F51}"/>
            </c:ext>
          </c:extLst>
        </c:ser>
        <c:ser>
          <c:idx val="2"/>
          <c:order val="1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datos'!$C$134:$D$134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datos'!$E$134:$F$134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B59-4D38-A035-64765F3C7F51}"/>
            </c:ext>
          </c:extLst>
        </c:ser>
        <c:ser>
          <c:idx val="3"/>
          <c:order val="2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datos'!$C$135:$D$135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datos'!$E$135:$F$135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C0-4479-A534-5DBD6F07CE3C}"/>
            </c:ext>
          </c:extLst>
        </c:ser>
        <c:ser>
          <c:idx val="4"/>
          <c:order val="3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datos'!$C$136:$D$136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datos'!$E$136:$F$136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AC0-4479-A534-5DBD6F07CE3C}"/>
            </c:ext>
          </c:extLst>
        </c:ser>
        <c:ser>
          <c:idx val="5"/>
          <c:order val="4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datos'!$C$137:$D$137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datos'!$E$137:$F$137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C0-4479-A534-5DBD6F07CE3C}"/>
            </c:ext>
          </c:extLst>
        </c:ser>
        <c:ser>
          <c:idx val="6"/>
          <c:order val="5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datos'!$C$138:$D$138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datos'!$E$138:$F$138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C0-4479-A534-5DBD6F07CE3C}"/>
            </c:ext>
          </c:extLst>
        </c:ser>
        <c:ser>
          <c:idx val="7"/>
          <c:order val="6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datos'!$C$139:$D$139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datos'!$E$139:$F$139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AC0-4479-A534-5DBD6F07CE3C}"/>
            </c:ext>
          </c:extLst>
        </c:ser>
        <c:ser>
          <c:idx val="8"/>
          <c:order val="7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datos'!$C$140:$D$140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datos'!$E$140:$F$140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C0-4479-A534-5DBD6F07CE3C}"/>
            </c:ext>
          </c:extLst>
        </c:ser>
        <c:ser>
          <c:idx val="9"/>
          <c:order val="8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datos'!$C$141:$D$141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datos'!$E$141:$F$141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AC0-4479-A534-5DBD6F07CE3C}"/>
            </c:ext>
          </c:extLst>
        </c:ser>
        <c:ser>
          <c:idx val="10"/>
          <c:order val="9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datos'!$C$142:$D$142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datos'!$E$142:$F$142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C0-4479-A534-5DBD6F07CE3C}"/>
            </c:ext>
          </c:extLst>
        </c:ser>
        <c:ser>
          <c:idx val="11"/>
          <c:order val="10"/>
          <c:spPr>
            <a:ln w="12700" cap="rnd">
              <a:solidFill>
                <a:srgbClr val="002060"/>
              </a:solidFill>
              <a:prstDash val="lgDash"/>
              <a:round/>
              <a:tailEnd type="triangle"/>
            </a:ln>
            <a:effectLst/>
          </c:spPr>
          <c:marker>
            <c:symbol val="none"/>
          </c:marker>
          <c:xVal>
            <c:numRef>
              <c:f>'Toma de datos'!$C$143:$D$143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'Toma de datos'!$E$143:$F$143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AC0-4479-A534-5DBD6F07CE3C}"/>
            </c:ext>
          </c:extLst>
        </c:ser>
        <c:ser>
          <c:idx val="0"/>
          <c:order val="11"/>
          <c:tx>
            <c:v>Prueba promedio de ascenso</c:v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15875">
                <a:solidFill>
                  <a:srgbClr val="00B050"/>
                </a:solidFill>
              </a:ln>
              <a:effectLst/>
            </c:spPr>
          </c:marker>
          <c:xVal>
            <c:numRef>
              <c:f>'Toma de datos'!$D$134:$D$143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datos'!$E$134:$E$143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B59-4D38-A035-64765F3C7F51}"/>
            </c:ext>
          </c:extLst>
        </c:ser>
        <c:ser>
          <c:idx val="12"/>
          <c:order val="12"/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9AC0-4479-A534-5DBD6F07CE3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9AC0-4479-A534-5DBD6F07CE3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9AC0-4479-A534-5DBD6F07CE3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9AC0-4479-A534-5DBD6F07CE3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9AC0-4479-A534-5DBD6F07CE3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9AC0-4479-A534-5DBD6F07CE3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9AC0-4479-A534-5DBD6F07CE3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9AC0-4479-A534-5DBD6F07CE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9AC0-4479-A534-5DBD6F07CE3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CO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9AC0-4479-A534-5DBD6F07CE3C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'Toma de datos'!$D$134:$D$143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datos'!$H$134:$H$143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C0-4479-A534-5DBD6F07C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5379544"/>
        <c:axId val="545376264"/>
      </c:scatterChart>
      <c:valAx>
        <c:axId val="545379544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rgbClr val="002060"/>
                    </a:solidFill>
                  </a:rPr>
                  <a:t>Indicación</a:t>
                </a:r>
                <a:r>
                  <a:rPr lang="en-US" sz="1200" baseline="0">
                    <a:solidFill>
                      <a:srgbClr val="002060"/>
                    </a:solidFill>
                  </a:rPr>
                  <a:t> promedio del IBC, [en unidades del cliente]</a:t>
                </a:r>
                <a:endParaRPr lang="en-US" sz="12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cross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5376264"/>
        <c:crosses val="max"/>
        <c:crossBetween val="midCat"/>
      </c:valAx>
      <c:valAx>
        <c:axId val="54537626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rgbClr val="002060"/>
                    </a:solidFill>
                  </a:rPr>
                  <a:t>Corrección</a:t>
                </a:r>
                <a:r>
                  <a:rPr lang="en-US" sz="1200" baseline="0">
                    <a:solidFill>
                      <a:srgbClr val="002060"/>
                    </a:solidFill>
                  </a:rPr>
                  <a:t> promedio a la indicación del IBC,</a:t>
                </a:r>
              </a:p>
              <a:p>
                <a:pPr>
                  <a:defRPr sz="1200">
                    <a:solidFill>
                      <a:srgbClr val="002060"/>
                    </a:solidFill>
                  </a:defRPr>
                </a:pPr>
                <a:r>
                  <a:rPr lang="en-US" sz="1200" baseline="0">
                    <a:solidFill>
                      <a:srgbClr val="002060"/>
                    </a:solidFill>
                  </a:rPr>
                  <a:t>[en unidades del cliente]</a:t>
                </a:r>
                <a:endParaRPr lang="en-US" sz="12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cross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b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5379544"/>
        <c:crossesAt val="0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2"/>
        <c:delete val="1"/>
      </c:legendEntry>
      <c:layout>
        <c:manualLayout>
          <c:xMode val="edge"/>
          <c:yMode val="edge"/>
          <c:x val="3.4433147266208042E-3"/>
          <c:y val="0.11816879615125919"/>
          <c:w val="0.47427949023632465"/>
          <c:h val="5.39054882161151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Corrección!$G$626:$G$726</c:f>
              <c:numCache>
                <c:formatCode>0.0000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Corrección!$H$626:$H$726</c:f>
              <c:numCache>
                <c:formatCode>0.0000</c:formatCode>
                <c:ptCount val="101"/>
                <c:pt idx="0">
                  <c:v>-1.6783216783218258E-3</c:v>
                </c:pt>
                <c:pt idx="1">
                  <c:v>1.988487762237745E-2</c:v>
                </c:pt>
                <c:pt idx="2">
                  <c:v>3.9998135198135006E-2</c:v>
                </c:pt>
                <c:pt idx="3">
                  <c:v>5.869204545454524E-2</c:v>
                </c:pt>
                <c:pt idx="4">
                  <c:v>7.5997202797202568E-2</c:v>
                </c:pt>
                <c:pt idx="5">
                  <c:v>9.1944201631701403E-2</c:v>
                </c:pt>
                <c:pt idx="6">
                  <c:v>0.1065636363636361</c:v>
                </c:pt>
                <c:pt idx="7">
                  <c:v>0.11988610139860113</c:v>
                </c:pt>
                <c:pt idx="8">
                  <c:v>0.13194219114219086</c:v>
                </c:pt>
                <c:pt idx="9">
                  <c:v>0.14276249999999971</c:v>
                </c:pt>
                <c:pt idx="10">
                  <c:v>0.15237762237762209</c:v>
                </c:pt>
                <c:pt idx="11">
                  <c:v>0.16081815268065239</c:v>
                </c:pt>
                <c:pt idx="12">
                  <c:v>0.16811468531468499</c:v>
                </c:pt>
                <c:pt idx="13">
                  <c:v>0.17429781468531438</c:v>
                </c:pt>
                <c:pt idx="14">
                  <c:v>0.17939813519813486</c:v>
                </c:pt>
                <c:pt idx="15">
                  <c:v>0.18344624125874096</c:v>
                </c:pt>
                <c:pt idx="16">
                  <c:v>0.18647272727272693</c:v>
                </c:pt>
                <c:pt idx="17">
                  <c:v>0.18850818764568733</c:v>
                </c:pt>
                <c:pt idx="18">
                  <c:v>0.18958321678321646</c:v>
                </c:pt>
                <c:pt idx="19">
                  <c:v>0.1897284090909088</c:v>
                </c:pt>
                <c:pt idx="20">
                  <c:v>0.18897435897435871</c:v>
                </c:pt>
                <c:pt idx="21">
                  <c:v>0.18735166083916055</c:v>
                </c:pt>
                <c:pt idx="22">
                  <c:v>0.1848909090909088</c:v>
                </c:pt>
                <c:pt idx="23">
                  <c:v>0.1816226981351978</c:v>
                </c:pt>
                <c:pt idx="24">
                  <c:v>0.17757762237762209</c:v>
                </c:pt>
                <c:pt idx="25">
                  <c:v>0.17278627622377596</c:v>
                </c:pt>
                <c:pt idx="26">
                  <c:v>0.16727925407925381</c:v>
                </c:pt>
                <c:pt idx="27">
                  <c:v>0.16108715034965015</c:v>
                </c:pt>
                <c:pt idx="28">
                  <c:v>0.15424055944055912</c:v>
                </c:pt>
                <c:pt idx="29">
                  <c:v>0.14677007575757556</c:v>
                </c:pt>
                <c:pt idx="30">
                  <c:v>0.1387062937062935</c:v>
                </c:pt>
                <c:pt idx="31">
                  <c:v>0.13007980769230762</c:v>
                </c:pt>
                <c:pt idx="32">
                  <c:v>0.12092121212121187</c:v>
                </c:pt>
                <c:pt idx="33">
                  <c:v>0.11126110139860121</c:v>
                </c:pt>
                <c:pt idx="34">
                  <c:v>0.10113006993006979</c:v>
                </c:pt>
                <c:pt idx="35">
                  <c:v>9.0558712121212054E-2</c:v>
                </c:pt>
                <c:pt idx="36">
                  <c:v>7.9577622377622226E-2</c:v>
                </c:pt>
                <c:pt idx="37">
                  <c:v>6.8217395104895051E-2</c:v>
                </c:pt>
                <c:pt idx="38">
                  <c:v>5.6508624708624611E-2</c:v>
                </c:pt>
                <c:pt idx="39">
                  <c:v>4.4481905594405569E-2</c:v>
                </c:pt>
                <c:pt idx="40">
                  <c:v>3.2167832167832144E-2</c:v>
                </c:pt>
                <c:pt idx="41">
                  <c:v>1.9596998834498947E-2</c:v>
                </c:pt>
                <c:pt idx="42">
                  <c:v>6.8000000000000282E-3</c:v>
                </c:pt>
                <c:pt idx="43">
                  <c:v>-6.1925699300700021E-3</c:v>
                </c:pt>
                <c:pt idx="44">
                  <c:v>-1.9350116550116481E-2</c:v>
                </c:pt>
                <c:pt idx="45">
                  <c:v>-3.2642045454545299E-2</c:v>
                </c:pt>
                <c:pt idx="46">
                  <c:v>-4.6037762237762292E-2</c:v>
                </c:pt>
                <c:pt idx="47">
                  <c:v>-5.9506672494172519E-2</c:v>
                </c:pt>
                <c:pt idx="48">
                  <c:v>-7.301818181818176E-2</c:v>
                </c:pt>
                <c:pt idx="49">
                  <c:v>-8.6541695804195684E-2</c:v>
                </c:pt>
                <c:pt idx="50">
                  <c:v>-0.10004662004661991</c:v>
                </c:pt>
                <c:pt idx="51">
                  <c:v>-0.11350236013986004</c:v>
                </c:pt>
                <c:pt idx="52">
                  <c:v>-0.12687832167832147</c:v>
                </c:pt>
                <c:pt idx="53">
                  <c:v>-0.14014391025641015</c:v>
                </c:pt>
                <c:pt idx="54">
                  <c:v>-0.15326853146853114</c:v>
                </c:pt>
                <c:pt idx="55">
                  <c:v>-0.16622159090909083</c:v>
                </c:pt>
                <c:pt idx="56">
                  <c:v>-0.17897249417249439</c:v>
                </c:pt>
                <c:pt idx="57">
                  <c:v>-0.19149064685314687</c:v>
                </c:pt>
                <c:pt idx="58">
                  <c:v>-0.20374545454545434</c:v>
                </c:pt>
                <c:pt idx="59">
                  <c:v>-0.21570632284382252</c:v>
                </c:pt>
                <c:pt idx="60">
                  <c:v>-0.22734265734265713</c:v>
                </c:pt>
                <c:pt idx="61">
                  <c:v>-0.23862386363636379</c:v>
                </c:pt>
                <c:pt idx="62">
                  <c:v>-0.24951934731934666</c:v>
                </c:pt>
                <c:pt idx="63">
                  <c:v>-0.25999851398601348</c:v>
                </c:pt>
                <c:pt idx="64">
                  <c:v>-0.27003076923076907</c:v>
                </c:pt>
                <c:pt idx="65">
                  <c:v>-0.27958551864801806</c:v>
                </c:pt>
                <c:pt idx="66">
                  <c:v>-0.2886321678321675</c:v>
                </c:pt>
                <c:pt idx="67">
                  <c:v>-0.29714012237762244</c:v>
                </c:pt>
                <c:pt idx="68">
                  <c:v>-0.30507878787878751</c:v>
                </c:pt>
                <c:pt idx="69">
                  <c:v>-0.31241756993006997</c:v>
                </c:pt>
                <c:pt idx="70">
                  <c:v>-0.31912587412587334</c:v>
                </c:pt>
                <c:pt idx="71">
                  <c:v>-0.32517310606060579</c:v>
                </c:pt>
                <c:pt idx="72">
                  <c:v>-0.33052867132867103</c:v>
                </c:pt>
                <c:pt idx="73">
                  <c:v>-0.3351619755244748</c:v>
                </c:pt>
                <c:pt idx="74">
                  <c:v>-0.33904242424242392</c:v>
                </c:pt>
                <c:pt idx="75">
                  <c:v>-0.3421394230769228</c:v>
                </c:pt>
                <c:pt idx="76">
                  <c:v>-0.3444223776223776</c:v>
                </c:pt>
                <c:pt idx="77">
                  <c:v>-0.34586069347319315</c:v>
                </c:pt>
                <c:pt idx="78">
                  <c:v>-0.34642377622377563</c:v>
                </c:pt>
                <c:pt idx="79">
                  <c:v>-0.3460810314685312</c:v>
                </c:pt>
                <c:pt idx="80">
                  <c:v>-0.3448018648018647</c:v>
                </c:pt>
                <c:pt idx="81">
                  <c:v>-0.34255568181818097</c:v>
                </c:pt>
                <c:pt idx="82">
                  <c:v>-0.33931188811188751</c:v>
                </c:pt>
                <c:pt idx="83">
                  <c:v>-0.3350398892773887</c:v>
                </c:pt>
                <c:pt idx="84">
                  <c:v>-0.32970909090909029</c:v>
                </c:pt>
                <c:pt idx="85">
                  <c:v>-0.32328889860139887</c:v>
                </c:pt>
                <c:pt idx="86">
                  <c:v>-0.31574871794871795</c:v>
                </c:pt>
                <c:pt idx="87">
                  <c:v>-0.30705795454545415</c:v>
                </c:pt>
                <c:pt idx="88">
                  <c:v>-0.29718601398601363</c:v>
                </c:pt>
                <c:pt idx="89">
                  <c:v>-0.28610230186480123</c:v>
                </c:pt>
                <c:pt idx="90">
                  <c:v>-0.27377622377622313</c:v>
                </c:pt>
                <c:pt idx="91">
                  <c:v>-0.26017718531468637</c:v>
                </c:pt>
                <c:pt idx="92">
                  <c:v>-0.24527459207459179</c:v>
                </c:pt>
                <c:pt idx="93">
                  <c:v>-0.22903784965034912</c:v>
                </c:pt>
                <c:pt idx="94">
                  <c:v>-0.21143636363636364</c:v>
                </c:pt>
                <c:pt idx="95">
                  <c:v>-0.1924395396270393</c:v>
                </c:pt>
                <c:pt idx="96">
                  <c:v>-0.17201678321678315</c:v>
                </c:pt>
                <c:pt idx="97">
                  <c:v>-0.15013750000000137</c:v>
                </c:pt>
                <c:pt idx="98">
                  <c:v>-0.12677109557109567</c:v>
                </c:pt>
                <c:pt idx="99">
                  <c:v>-0.10188697552447579</c:v>
                </c:pt>
                <c:pt idx="100">
                  <c:v>-7.5454545454546107E-2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0D-4C74-B4F3-EEF615F348A7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plus>
            <c:min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Corrección!$C$213:$C$223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xVal>
          <c:yVal>
            <c:numRef>
              <c:f>Corrección!$D$213:$D$223</c:f>
              <c:numCache>
                <c:formatCode>General</c:formatCode>
                <c:ptCount val="11"/>
                <c:pt idx="0">
                  <c:v>0.01</c:v>
                </c:pt>
                <c:pt idx="1">
                  <c:v>0.12</c:v>
                </c:pt>
                <c:pt idx="2">
                  <c:v>0.18</c:v>
                </c:pt>
                <c:pt idx="3">
                  <c:v>0.17</c:v>
                </c:pt>
                <c:pt idx="4">
                  <c:v>0.08</c:v>
                </c:pt>
                <c:pt idx="5">
                  <c:v>-0.09</c:v>
                </c:pt>
                <c:pt idx="6">
                  <c:v>-0.28999999999999998</c:v>
                </c:pt>
                <c:pt idx="7">
                  <c:v>-0.4</c:v>
                </c:pt>
                <c:pt idx="8">
                  <c:v>-0.31</c:v>
                </c:pt>
                <c:pt idx="9">
                  <c:v>-0.16</c:v>
                </c:pt>
                <c:pt idx="10">
                  <c:v>-0.14000000000000001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0D-4C74-B4F3-EEF615F348A7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Corrección!$F$287:$F$296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Corrección!$F$287:$F$296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Corrección!$C$287:$C$296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Corrección!$D$287:$D$296</c:f>
              <c:numCache>
                <c:formatCode>0.0000</c:formatCode>
                <c:ptCount val="10"/>
                <c:pt idx="0">
                  <c:v>-1.6783216783218258E-3</c:v>
                </c:pt>
                <c:pt idx="1">
                  <c:v>-1.6783216783218258E-3</c:v>
                </c:pt>
                <c:pt idx="2">
                  <c:v>-1.6783216783218258E-3</c:v>
                </c:pt>
                <c:pt idx="3">
                  <c:v>-1.6783216783218258E-3</c:v>
                </c:pt>
                <c:pt idx="4">
                  <c:v>-1.6783216783218258E-3</c:v>
                </c:pt>
                <c:pt idx="5">
                  <c:v>-1.6783216783218258E-3</c:v>
                </c:pt>
                <c:pt idx="6">
                  <c:v>-1.6783216783218258E-3</c:v>
                </c:pt>
                <c:pt idx="7">
                  <c:v>-1.6783216783218258E-3</c:v>
                </c:pt>
                <c:pt idx="8">
                  <c:v>-1.6783216783218258E-3</c:v>
                </c:pt>
                <c:pt idx="9">
                  <c:v>-1.6783216783218258E-3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0D-4C74-B4F3-EEF615F34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Corrección!$C$626:$C$726</c:f>
              <c:numCache>
                <c:formatCode>0.0000</c:formatCode>
                <c:ptCount val="101"/>
                <c:pt idx="0">
                  <c:v>-10</c:v>
                </c:pt>
                <c:pt idx="1">
                  <c:v>-9.75</c:v>
                </c:pt>
                <c:pt idx="2">
                  <c:v>-9.5</c:v>
                </c:pt>
                <c:pt idx="3">
                  <c:v>-9.25</c:v>
                </c:pt>
                <c:pt idx="4">
                  <c:v>-9</c:v>
                </c:pt>
                <c:pt idx="5">
                  <c:v>-8.75</c:v>
                </c:pt>
                <c:pt idx="6">
                  <c:v>-8.5</c:v>
                </c:pt>
                <c:pt idx="7">
                  <c:v>-8.25</c:v>
                </c:pt>
                <c:pt idx="8">
                  <c:v>-8</c:v>
                </c:pt>
                <c:pt idx="9">
                  <c:v>-7.75</c:v>
                </c:pt>
                <c:pt idx="10">
                  <c:v>-7.5</c:v>
                </c:pt>
                <c:pt idx="11">
                  <c:v>-7.25</c:v>
                </c:pt>
                <c:pt idx="12">
                  <c:v>-7</c:v>
                </c:pt>
                <c:pt idx="13">
                  <c:v>-6.75</c:v>
                </c:pt>
                <c:pt idx="14">
                  <c:v>-6.5</c:v>
                </c:pt>
                <c:pt idx="15">
                  <c:v>-6.25</c:v>
                </c:pt>
                <c:pt idx="16">
                  <c:v>-6</c:v>
                </c:pt>
                <c:pt idx="17">
                  <c:v>-5.75</c:v>
                </c:pt>
                <c:pt idx="18">
                  <c:v>-5.5</c:v>
                </c:pt>
                <c:pt idx="19">
                  <c:v>-5.25</c:v>
                </c:pt>
                <c:pt idx="20">
                  <c:v>-5</c:v>
                </c:pt>
                <c:pt idx="21">
                  <c:v>-4.75</c:v>
                </c:pt>
                <c:pt idx="22">
                  <c:v>-4.5</c:v>
                </c:pt>
                <c:pt idx="23">
                  <c:v>-4.25</c:v>
                </c:pt>
                <c:pt idx="24">
                  <c:v>-4</c:v>
                </c:pt>
                <c:pt idx="25">
                  <c:v>-3.75</c:v>
                </c:pt>
                <c:pt idx="26">
                  <c:v>-3.5</c:v>
                </c:pt>
                <c:pt idx="27">
                  <c:v>-3.25</c:v>
                </c:pt>
                <c:pt idx="28">
                  <c:v>-3</c:v>
                </c:pt>
                <c:pt idx="29">
                  <c:v>-2.75</c:v>
                </c:pt>
                <c:pt idx="30">
                  <c:v>-2.5</c:v>
                </c:pt>
                <c:pt idx="31">
                  <c:v>-2.25</c:v>
                </c:pt>
                <c:pt idx="32">
                  <c:v>-2</c:v>
                </c:pt>
                <c:pt idx="33">
                  <c:v>-1.75</c:v>
                </c:pt>
                <c:pt idx="34">
                  <c:v>-1.5</c:v>
                </c:pt>
                <c:pt idx="35">
                  <c:v>-1.25</c:v>
                </c:pt>
                <c:pt idx="36">
                  <c:v>-1</c:v>
                </c:pt>
                <c:pt idx="37">
                  <c:v>-0.75</c:v>
                </c:pt>
                <c:pt idx="38">
                  <c:v>-0.5</c:v>
                </c:pt>
                <c:pt idx="39">
                  <c:v>-0.25</c:v>
                </c:pt>
                <c:pt idx="40">
                  <c:v>0</c:v>
                </c:pt>
                <c:pt idx="41">
                  <c:v>0.25</c:v>
                </c:pt>
                <c:pt idx="42">
                  <c:v>0.5</c:v>
                </c:pt>
                <c:pt idx="43">
                  <c:v>0.75</c:v>
                </c:pt>
                <c:pt idx="44">
                  <c:v>1</c:v>
                </c:pt>
                <c:pt idx="45">
                  <c:v>1.25</c:v>
                </c:pt>
                <c:pt idx="46">
                  <c:v>1.5</c:v>
                </c:pt>
                <c:pt idx="47">
                  <c:v>1.75</c:v>
                </c:pt>
                <c:pt idx="48">
                  <c:v>2</c:v>
                </c:pt>
                <c:pt idx="49">
                  <c:v>2.25</c:v>
                </c:pt>
                <c:pt idx="50">
                  <c:v>2.5</c:v>
                </c:pt>
                <c:pt idx="51">
                  <c:v>2.75</c:v>
                </c:pt>
                <c:pt idx="52">
                  <c:v>3</c:v>
                </c:pt>
                <c:pt idx="53">
                  <c:v>3.25</c:v>
                </c:pt>
                <c:pt idx="54">
                  <c:v>3.5</c:v>
                </c:pt>
                <c:pt idx="55">
                  <c:v>3.75</c:v>
                </c:pt>
                <c:pt idx="56">
                  <c:v>4</c:v>
                </c:pt>
                <c:pt idx="57">
                  <c:v>4.25</c:v>
                </c:pt>
                <c:pt idx="58">
                  <c:v>4.5</c:v>
                </c:pt>
                <c:pt idx="59">
                  <c:v>4.75</c:v>
                </c:pt>
                <c:pt idx="60">
                  <c:v>5</c:v>
                </c:pt>
                <c:pt idx="61">
                  <c:v>5.25</c:v>
                </c:pt>
                <c:pt idx="62">
                  <c:v>5.5</c:v>
                </c:pt>
                <c:pt idx="63">
                  <c:v>5.75</c:v>
                </c:pt>
                <c:pt idx="64">
                  <c:v>6</c:v>
                </c:pt>
                <c:pt idx="65">
                  <c:v>6.25</c:v>
                </c:pt>
                <c:pt idx="66">
                  <c:v>6.5</c:v>
                </c:pt>
                <c:pt idx="67">
                  <c:v>6.75</c:v>
                </c:pt>
                <c:pt idx="68">
                  <c:v>7</c:v>
                </c:pt>
                <c:pt idx="69">
                  <c:v>7.25</c:v>
                </c:pt>
                <c:pt idx="70">
                  <c:v>7.5</c:v>
                </c:pt>
                <c:pt idx="71">
                  <c:v>7.75</c:v>
                </c:pt>
                <c:pt idx="72">
                  <c:v>8</c:v>
                </c:pt>
                <c:pt idx="73">
                  <c:v>8.25</c:v>
                </c:pt>
                <c:pt idx="74">
                  <c:v>8.5</c:v>
                </c:pt>
                <c:pt idx="75">
                  <c:v>8.75</c:v>
                </c:pt>
                <c:pt idx="76">
                  <c:v>9</c:v>
                </c:pt>
                <c:pt idx="77">
                  <c:v>9.25</c:v>
                </c:pt>
                <c:pt idx="78">
                  <c:v>9.5</c:v>
                </c:pt>
                <c:pt idx="79">
                  <c:v>9.75</c:v>
                </c:pt>
                <c:pt idx="80">
                  <c:v>10</c:v>
                </c:pt>
                <c:pt idx="81">
                  <c:v>10.25</c:v>
                </c:pt>
                <c:pt idx="82">
                  <c:v>10.5</c:v>
                </c:pt>
                <c:pt idx="83">
                  <c:v>10.75</c:v>
                </c:pt>
                <c:pt idx="84">
                  <c:v>11</c:v>
                </c:pt>
                <c:pt idx="85">
                  <c:v>11.25</c:v>
                </c:pt>
                <c:pt idx="86">
                  <c:v>11.5</c:v>
                </c:pt>
                <c:pt idx="87">
                  <c:v>11.75</c:v>
                </c:pt>
                <c:pt idx="88">
                  <c:v>12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13</c:v>
                </c:pt>
                <c:pt idx="93">
                  <c:v>13.25</c:v>
                </c:pt>
                <c:pt idx="94">
                  <c:v>13.5</c:v>
                </c:pt>
                <c:pt idx="95">
                  <c:v>13.75</c:v>
                </c:pt>
                <c:pt idx="96">
                  <c:v>14</c:v>
                </c:pt>
                <c:pt idx="97">
                  <c:v>14.25</c:v>
                </c:pt>
                <c:pt idx="98">
                  <c:v>14.5</c:v>
                </c:pt>
                <c:pt idx="99">
                  <c:v>14.75</c:v>
                </c:pt>
                <c:pt idx="100">
                  <c:v>15</c:v>
                </c:pt>
              </c:numCache>
            </c:numRef>
          </c:xVal>
          <c:yVal>
            <c:numRef>
              <c:f>Corrección!$D$626:$D$726</c:f>
              <c:numCache>
                <c:formatCode>0.0000</c:formatCode>
                <c:ptCount val="101"/>
                <c:pt idx="0">
                  <c:v>1.409524202469716E-4</c:v>
                </c:pt>
                <c:pt idx="1">
                  <c:v>1.5314623276970886E-4</c:v>
                </c:pt>
                <c:pt idx="2">
                  <c:v>1.6511229036253716E-4</c:v>
                </c:pt>
                <c:pt idx="3">
                  <c:v>1.7684616611526123E-4</c:v>
                </c:pt>
                <c:pt idx="4">
                  <c:v>1.8834343311768578E-4</c:v>
                </c:pt>
                <c:pt idx="5">
                  <c:v>1.9959966445961543E-4</c:v>
                </c:pt>
                <c:pt idx="6">
                  <c:v>2.1061043323085507E-4</c:v>
                </c:pt>
                <c:pt idx="7">
                  <c:v>2.2137131252120937E-4</c:v>
                </c:pt>
                <c:pt idx="8">
                  <c:v>2.3187787542048303E-4</c:v>
                </c:pt>
                <c:pt idx="9">
                  <c:v>2.4212569501848072E-4</c:v>
                </c:pt>
                <c:pt idx="10">
                  <c:v>2.5211034440500728E-4</c:v>
                </c:pt>
                <c:pt idx="11">
                  <c:v>2.6182739666986743E-4</c:v>
                </c:pt>
                <c:pt idx="12">
                  <c:v>2.7127242490286574E-4</c:v>
                </c:pt>
                <c:pt idx="13">
                  <c:v>2.8044100219380718E-4</c:v>
                </c:pt>
                <c:pt idx="14">
                  <c:v>2.8932870163249629E-4</c:v>
                </c:pt>
                <c:pt idx="15">
                  <c:v>2.9793109630873787E-4</c:v>
                </c:pt>
                <c:pt idx="16">
                  <c:v>3.0624375931233668E-4</c:v>
                </c:pt>
                <c:pt idx="17">
                  <c:v>3.1426226373309737E-4</c:v>
                </c:pt>
                <c:pt idx="18">
                  <c:v>3.2198218266082468E-4</c:v>
                </c:pt>
                <c:pt idx="19">
                  <c:v>3.2939908918532327E-4</c:v>
                </c:pt>
                <c:pt idx="20">
                  <c:v>3.365085563963981E-4</c:v>
                </c:pt>
                <c:pt idx="21">
                  <c:v>3.4330615738385365E-4</c:v>
                </c:pt>
                <c:pt idx="22">
                  <c:v>3.4978746523749475E-4</c:v>
                </c:pt>
                <c:pt idx="23">
                  <c:v>3.5594805304712613E-4</c:v>
                </c:pt>
                <c:pt idx="24">
                  <c:v>3.6178349390255255E-4</c:v>
                </c:pt>
                <c:pt idx="25">
                  <c:v>3.6728936089357856E-4</c:v>
                </c:pt>
                <c:pt idx="26">
                  <c:v>3.7246122711000911E-4</c:v>
                </c:pt>
                <c:pt idx="27">
                  <c:v>3.7729466564164881E-4</c:v>
                </c:pt>
                <c:pt idx="28">
                  <c:v>3.8178524957830246E-4</c:v>
                </c:pt>
                <c:pt idx="29">
                  <c:v>3.859285520097747E-4</c:v>
                </c:pt>
                <c:pt idx="30">
                  <c:v>3.8972014602587024E-4</c:v>
                </c:pt>
                <c:pt idx="31">
                  <c:v>3.9315560471639394E-4</c:v>
                </c:pt>
                <c:pt idx="32">
                  <c:v>3.9623050117115039E-4</c:v>
                </c:pt>
                <c:pt idx="33">
                  <c:v>3.9894040847994439E-4</c:v>
                </c:pt>
                <c:pt idx="34">
                  <c:v>4.0128089973258066E-4</c:v>
                </c:pt>
                <c:pt idx="35">
                  <c:v>4.0324754801886387E-4</c:v>
                </c:pt>
                <c:pt idx="36">
                  <c:v>4.0483592642859886E-4</c:v>
                </c:pt>
                <c:pt idx="37">
                  <c:v>4.0604160805159025E-4</c:v>
                </c:pt>
                <c:pt idx="38">
                  <c:v>4.0686016597764281E-4</c:v>
                </c:pt>
                <c:pt idx="39">
                  <c:v>4.0728717329656118E-4</c:v>
                </c:pt>
                <c:pt idx="40">
                  <c:v>4.0731820309815027E-4</c:v>
                </c:pt>
                <c:pt idx="41">
                  <c:v>4.0694882847221468E-4</c:v>
                </c:pt>
                <c:pt idx="42">
                  <c:v>4.0617462250855911E-4</c:v>
                </c:pt>
                <c:pt idx="43">
                  <c:v>4.0499115829698836E-4</c:v>
                </c:pt>
                <c:pt idx="44">
                  <c:v>4.033940089273072E-4</c:v>
                </c:pt>
                <c:pt idx="45">
                  <c:v>4.0137874748932026E-4</c:v>
                </c:pt>
                <c:pt idx="46">
                  <c:v>3.9894094707283218E-4</c:v>
                </c:pt>
                <c:pt idx="47">
                  <c:v>3.960761807676479E-4</c:v>
                </c:pt>
                <c:pt idx="48">
                  <c:v>3.92780021663572E-4</c:v>
                </c:pt>
                <c:pt idx="49">
                  <c:v>3.8904804285040928E-4</c:v>
                </c:pt>
                <c:pt idx="50">
                  <c:v>3.8487581741796444E-4</c:v>
                </c:pt>
                <c:pt idx="51">
                  <c:v>3.8025891845604219E-4</c:v>
                </c:pt>
                <c:pt idx="52">
                  <c:v>3.7519291905444729E-4</c:v>
                </c:pt>
                <c:pt idx="53">
                  <c:v>3.6967339230298442E-4</c:v>
                </c:pt>
                <c:pt idx="54">
                  <c:v>3.6369591129145834E-4</c:v>
                </c:pt>
                <c:pt idx="55">
                  <c:v>3.5725604910967387E-4</c:v>
                </c:pt>
                <c:pt idx="56">
                  <c:v>3.5034937884743548E-4</c:v>
                </c:pt>
                <c:pt idx="57">
                  <c:v>3.4297147359454815E-4</c:v>
                </c:pt>
                <c:pt idx="58">
                  <c:v>3.3511790644081651E-4</c:v>
                </c:pt>
                <c:pt idx="59">
                  <c:v>3.2678425047604523E-4</c:v>
                </c:pt>
                <c:pt idx="60">
                  <c:v>3.1796607879003915E-4</c:v>
                </c:pt>
                <c:pt idx="61">
                  <c:v>3.0865896447260287E-4</c:v>
                </c:pt>
                <c:pt idx="62">
                  <c:v>2.988584806135412E-4</c:v>
                </c:pt>
                <c:pt idx="63">
                  <c:v>2.8856020030265889E-4</c:v>
                </c:pt>
                <c:pt idx="64">
                  <c:v>2.7775969662976069E-4</c:v>
                </c:pt>
                <c:pt idx="65">
                  <c:v>2.6645254268465115E-4</c:v>
                </c:pt>
                <c:pt idx="66">
                  <c:v>2.5463431155713513E-4</c:v>
                </c:pt>
                <c:pt idx="67">
                  <c:v>2.4230057633701737E-4</c:v>
                </c:pt>
                <c:pt idx="68">
                  <c:v>2.2944691011410256E-4</c:v>
                </c:pt>
                <c:pt idx="69">
                  <c:v>2.1606888597819541E-4</c:v>
                </c:pt>
                <c:pt idx="70">
                  <c:v>2.0216207701910069E-4</c:v>
                </c:pt>
                <c:pt idx="71">
                  <c:v>1.8772205632662311E-4</c:v>
                </c:pt>
                <c:pt idx="72">
                  <c:v>1.7274439699056733E-4</c:v>
                </c:pt>
                <c:pt idx="73">
                  <c:v>1.5722467210073821E-4</c:v>
                </c:pt>
                <c:pt idx="74">
                  <c:v>1.4115845474694036E-4</c:v>
                </c:pt>
                <c:pt idx="75">
                  <c:v>1.245413180189786E-4</c:v>
                </c:pt>
                <c:pt idx="76">
                  <c:v>1.0736883500665753E-4</c:v>
                </c:pt>
                <c:pt idx="77">
                  <c:v>8.9636578799781995E-5</c:v>
                </c:pt>
                <c:pt idx="78">
                  <c:v>7.1340122488156639E-5</c:v>
                </c:pt>
                <c:pt idx="79">
                  <c:v>5.2475039161586234E-5</c:v>
                </c:pt>
                <c:pt idx="80">
                  <c:v>3.3036901909875546E-5</c:v>
                </c:pt>
                <c:pt idx="81">
                  <c:v>1.3021283822829256E-5</c:v>
                </c:pt>
                <c:pt idx="82">
                  <c:v>-7.5762420097479994E-6</c:v>
                </c:pt>
                <c:pt idx="83">
                  <c:v>-2.876010249805137E-5</c:v>
                </c:pt>
                <c:pt idx="84">
                  <c:v>-5.0534724552276102E-5</c:v>
                </c:pt>
                <c:pt idx="85">
                  <c:v>-7.2904535082617475E-5</c:v>
                </c:pt>
                <c:pt idx="86">
                  <c:v>-9.5873960999270973E-5</c:v>
                </c:pt>
                <c:pt idx="87">
                  <c:v>-1.1944742921243168E-4</c:v>
                </c:pt>
                <c:pt idx="88">
                  <c:v>-1.4362936663229485E-4</c:v>
                </c:pt>
                <c:pt idx="89">
                  <c:v>-1.6842420016905592E-4</c:v>
                </c:pt>
                <c:pt idx="90">
                  <c:v>-1.9383635673290994E-4</c:v>
                </c:pt>
                <c:pt idx="91">
                  <c:v>-2.1987026323405233E-4</c:v>
                </c:pt>
                <c:pt idx="92">
                  <c:v>-2.4653034658267837E-4</c:v>
                </c:pt>
                <c:pt idx="93">
                  <c:v>-2.7382103368898329E-4</c:v>
                </c:pt>
                <c:pt idx="94">
                  <c:v>-3.0174675146316246E-4</c:v>
                </c:pt>
                <c:pt idx="95">
                  <c:v>-3.3031192681541089E-4</c:v>
                </c:pt>
                <c:pt idx="96">
                  <c:v>-3.5952098665592423E-4</c:v>
                </c:pt>
                <c:pt idx="97">
                  <c:v>-3.8937835789489732E-4</c:v>
                </c:pt>
                <c:pt idx="98">
                  <c:v>-4.198884674425257E-4</c:v>
                </c:pt>
                <c:pt idx="99">
                  <c:v>-4.5105574220900472E-4</c:v>
                </c:pt>
                <c:pt idx="100">
                  <c:v>-4.8288460910452956E-4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14-43EB-B37C-55BA18D0E510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3"/>
            <c:marker>
              <c:symbol val="circle"/>
              <c:size val="6"/>
              <c:spPr>
                <a:noFill/>
                <a:ln w="12700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B14-43EB-B37C-55BA18D0E510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plus>
            <c:min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Corrección!$C$19:$C$31</c:f>
              <c:numCache>
                <c:formatCode>General</c:formatCode>
                <c:ptCount val="13"/>
                <c:pt idx="0">
                  <c:v>-10</c:v>
                </c:pt>
                <c:pt idx="1">
                  <c:v>-8</c:v>
                </c:pt>
                <c:pt idx="2">
                  <c:v>-5</c:v>
                </c:pt>
                <c:pt idx="3">
                  <c:v>-2</c:v>
                </c:pt>
                <c:pt idx="4">
                  <c:v>0</c:v>
                </c:pt>
                <c:pt idx="5">
                  <c:v>2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13</c:v>
                </c:pt>
                <c:pt idx="10">
                  <c:v>15</c:v>
                </c:pt>
              </c:numCache>
            </c:numRef>
          </c:xVal>
          <c:yVal>
            <c:numRef>
              <c:f>Corrección!$D$19:$D$31</c:f>
              <c:numCache>
                <c:formatCode>General</c:formatCode>
                <c:ptCount val="13"/>
                <c:pt idx="0">
                  <c:v>2.0000000000000001E-4</c:v>
                </c:pt>
                <c:pt idx="1">
                  <c:v>2.0000000000000001E-4</c:v>
                </c:pt>
                <c:pt idx="2">
                  <c:v>2.9999999999999997E-4</c:v>
                </c:pt>
                <c:pt idx="3">
                  <c:v>2.9999999999999997E-4</c:v>
                </c:pt>
                <c:pt idx="4">
                  <c:v>4.0000000000000002E-4</c:v>
                </c:pt>
                <c:pt idx="5">
                  <c:v>4.0000000000000002E-4</c:v>
                </c:pt>
                <c:pt idx="6">
                  <c:v>5.0000000000000001E-4</c:v>
                </c:pt>
                <c:pt idx="7">
                  <c:v>5.0000000000000001E-4</c:v>
                </c:pt>
                <c:pt idx="8">
                  <c:v>-4.0000000000000002E-4</c:v>
                </c:pt>
                <c:pt idx="9">
                  <c:v>-4.0000000000000002E-4</c:v>
                </c:pt>
                <c:pt idx="10">
                  <c:v>-2.9999999999999997E-4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B14-43EB-B37C-55BA18D0E510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Corrección!$F$55:$F$64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plus>
            <c:minus>
              <c:numRef>
                <c:f>Corrección!$F$55:$F$64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Corrección!$C$55:$C$64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Corrección!$D$55:$D$64</c:f>
              <c:numCache>
                <c:formatCode>0.0000</c:formatCode>
                <c:ptCount val="10"/>
                <c:pt idx="0">
                  <c:v>4.0731820309815027E-4</c:v>
                </c:pt>
                <c:pt idx="1">
                  <c:v>4.0731820309815027E-4</c:v>
                </c:pt>
                <c:pt idx="2">
                  <c:v>4.0731820309815027E-4</c:v>
                </c:pt>
                <c:pt idx="3">
                  <c:v>4.0731820309815027E-4</c:v>
                </c:pt>
                <c:pt idx="4">
                  <c:v>4.0731820309815027E-4</c:v>
                </c:pt>
                <c:pt idx="5">
                  <c:v>4.0731820309815027E-4</c:v>
                </c:pt>
                <c:pt idx="6">
                  <c:v>4.0731820309815027E-4</c:v>
                </c:pt>
                <c:pt idx="7">
                  <c:v>4.0731820309815027E-4</c:v>
                </c:pt>
                <c:pt idx="8">
                  <c:v>4.0731820309815027E-4</c:v>
                </c:pt>
                <c:pt idx="9">
                  <c:v>4.0731820309815027E-4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B14-43EB-B37C-55BA18D0E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manovacuómetro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Corrección!$C$626:$C$726</c:f>
              <c:numCache>
                <c:formatCode>0.0000</c:formatCode>
                <c:ptCount val="101"/>
                <c:pt idx="0">
                  <c:v>-10</c:v>
                </c:pt>
                <c:pt idx="1">
                  <c:v>-9.75</c:v>
                </c:pt>
                <c:pt idx="2">
                  <c:v>-9.5</c:v>
                </c:pt>
                <c:pt idx="3">
                  <c:v>-9.25</c:v>
                </c:pt>
                <c:pt idx="4">
                  <c:v>-9</c:v>
                </c:pt>
                <c:pt idx="5">
                  <c:v>-8.75</c:v>
                </c:pt>
                <c:pt idx="6">
                  <c:v>-8.5</c:v>
                </c:pt>
                <c:pt idx="7">
                  <c:v>-8.25</c:v>
                </c:pt>
                <c:pt idx="8">
                  <c:v>-8</c:v>
                </c:pt>
                <c:pt idx="9">
                  <c:v>-7.75</c:v>
                </c:pt>
                <c:pt idx="10">
                  <c:v>-7.5</c:v>
                </c:pt>
                <c:pt idx="11">
                  <c:v>-7.25</c:v>
                </c:pt>
                <c:pt idx="12">
                  <c:v>-7</c:v>
                </c:pt>
                <c:pt idx="13">
                  <c:v>-6.75</c:v>
                </c:pt>
                <c:pt idx="14">
                  <c:v>-6.5</c:v>
                </c:pt>
                <c:pt idx="15">
                  <c:v>-6.25</c:v>
                </c:pt>
                <c:pt idx="16">
                  <c:v>-6</c:v>
                </c:pt>
                <c:pt idx="17">
                  <c:v>-5.75</c:v>
                </c:pt>
                <c:pt idx="18">
                  <c:v>-5.5</c:v>
                </c:pt>
                <c:pt idx="19">
                  <c:v>-5.25</c:v>
                </c:pt>
                <c:pt idx="20">
                  <c:v>-5</c:v>
                </c:pt>
                <c:pt idx="21">
                  <c:v>-4.75</c:v>
                </c:pt>
                <c:pt idx="22">
                  <c:v>-4.5</c:v>
                </c:pt>
                <c:pt idx="23">
                  <c:v>-4.25</c:v>
                </c:pt>
                <c:pt idx="24">
                  <c:v>-4</c:v>
                </c:pt>
                <c:pt idx="25">
                  <c:v>-3.75</c:v>
                </c:pt>
                <c:pt idx="26">
                  <c:v>-3.5</c:v>
                </c:pt>
                <c:pt idx="27">
                  <c:v>-3.25</c:v>
                </c:pt>
                <c:pt idx="28">
                  <c:v>-3</c:v>
                </c:pt>
                <c:pt idx="29">
                  <c:v>-2.75</c:v>
                </c:pt>
                <c:pt idx="30">
                  <c:v>-2.5</c:v>
                </c:pt>
                <c:pt idx="31">
                  <c:v>-2.25</c:v>
                </c:pt>
                <c:pt idx="32">
                  <c:v>-2</c:v>
                </c:pt>
                <c:pt idx="33">
                  <c:v>-1.75</c:v>
                </c:pt>
                <c:pt idx="34">
                  <c:v>-1.5</c:v>
                </c:pt>
                <c:pt idx="35">
                  <c:v>-1.25</c:v>
                </c:pt>
                <c:pt idx="36">
                  <c:v>-1</c:v>
                </c:pt>
                <c:pt idx="37">
                  <c:v>-0.75</c:v>
                </c:pt>
                <c:pt idx="38">
                  <c:v>-0.5</c:v>
                </c:pt>
                <c:pt idx="39">
                  <c:v>-0.25</c:v>
                </c:pt>
                <c:pt idx="40">
                  <c:v>0</c:v>
                </c:pt>
                <c:pt idx="41">
                  <c:v>0.25</c:v>
                </c:pt>
                <c:pt idx="42">
                  <c:v>0.5</c:v>
                </c:pt>
                <c:pt idx="43">
                  <c:v>0.75</c:v>
                </c:pt>
                <c:pt idx="44">
                  <c:v>1</c:v>
                </c:pt>
                <c:pt idx="45">
                  <c:v>1.25</c:v>
                </c:pt>
                <c:pt idx="46">
                  <c:v>1.5</c:v>
                </c:pt>
                <c:pt idx="47">
                  <c:v>1.75</c:v>
                </c:pt>
                <c:pt idx="48">
                  <c:v>2</c:v>
                </c:pt>
                <c:pt idx="49">
                  <c:v>2.25</c:v>
                </c:pt>
                <c:pt idx="50">
                  <c:v>2.5</c:v>
                </c:pt>
                <c:pt idx="51">
                  <c:v>2.75</c:v>
                </c:pt>
                <c:pt idx="52">
                  <c:v>3</c:v>
                </c:pt>
                <c:pt idx="53">
                  <c:v>3.25</c:v>
                </c:pt>
                <c:pt idx="54">
                  <c:v>3.5</c:v>
                </c:pt>
                <c:pt idx="55">
                  <c:v>3.75</c:v>
                </c:pt>
                <c:pt idx="56">
                  <c:v>4</c:v>
                </c:pt>
                <c:pt idx="57">
                  <c:v>4.25</c:v>
                </c:pt>
                <c:pt idx="58">
                  <c:v>4.5</c:v>
                </c:pt>
                <c:pt idx="59">
                  <c:v>4.75</c:v>
                </c:pt>
                <c:pt idx="60">
                  <c:v>5</c:v>
                </c:pt>
                <c:pt idx="61">
                  <c:v>5.25</c:v>
                </c:pt>
                <c:pt idx="62">
                  <c:v>5.5</c:v>
                </c:pt>
                <c:pt idx="63">
                  <c:v>5.75</c:v>
                </c:pt>
                <c:pt idx="64">
                  <c:v>6</c:v>
                </c:pt>
                <c:pt idx="65">
                  <c:v>6.25</c:v>
                </c:pt>
                <c:pt idx="66">
                  <c:v>6.5</c:v>
                </c:pt>
                <c:pt idx="67">
                  <c:v>6.75</c:v>
                </c:pt>
                <c:pt idx="68">
                  <c:v>7</c:v>
                </c:pt>
                <c:pt idx="69">
                  <c:v>7.25</c:v>
                </c:pt>
                <c:pt idx="70">
                  <c:v>7.5</c:v>
                </c:pt>
                <c:pt idx="71">
                  <c:v>7.75</c:v>
                </c:pt>
                <c:pt idx="72">
                  <c:v>8</c:v>
                </c:pt>
                <c:pt idx="73">
                  <c:v>8.25</c:v>
                </c:pt>
                <c:pt idx="74">
                  <c:v>8.5</c:v>
                </c:pt>
                <c:pt idx="75">
                  <c:v>8.75</c:v>
                </c:pt>
                <c:pt idx="76">
                  <c:v>9</c:v>
                </c:pt>
                <c:pt idx="77">
                  <c:v>9.25</c:v>
                </c:pt>
                <c:pt idx="78">
                  <c:v>9.5</c:v>
                </c:pt>
                <c:pt idx="79">
                  <c:v>9.75</c:v>
                </c:pt>
                <c:pt idx="80">
                  <c:v>10</c:v>
                </c:pt>
                <c:pt idx="81">
                  <c:v>10.25</c:v>
                </c:pt>
                <c:pt idx="82">
                  <c:v>10.5</c:v>
                </c:pt>
                <c:pt idx="83">
                  <c:v>10.75</c:v>
                </c:pt>
                <c:pt idx="84">
                  <c:v>11</c:v>
                </c:pt>
                <c:pt idx="85">
                  <c:v>11.25</c:v>
                </c:pt>
                <c:pt idx="86">
                  <c:v>11.5</c:v>
                </c:pt>
                <c:pt idx="87">
                  <c:v>11.75</c:v>
                </c:pt>
                <c:pt idx="88">
                  <c:v>12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13</c:v>
                </c:pt>
                <c:pt idx="93">
                  <c:v>13.25</c:v>
                </c:pt>
                <c:pt idx="94">
                  <c:v>13.5</c:v>
                </c:pt>
                <c:pt idx="95">
                  <c:v>13.75</c:v>
                </c:pt>
                <c:pt idx="96">
                  <c:v>14</c:v>
                </c:pt>
                <c:pt idx="97">
                  <c:v>14.25</c:v>
                </c:pt>
                <c:pt idx="98">
                  <c:v>14.5</c:v>
                </c:pt>
                <c:pt idx="99">
                  <c:v>14.75</c:v>
                </c:pt>
                <c:pt idx="100">
                  <c:v>15</c:v>
                </c:pt>
              </c:numCache>
            </c:numRef>
          </c:xVal>
          <c:yVal>
            <c:numRef>
              <c:f>Corrección!$D$626:$D$726</c:f>
              <c:numCache>
                <c:formatCode>0.0000</c:formatCode>
                <c:ptCount val="101"/>
                <c:pt idx="0">
                  <c:v>1.409524202469716E-4</c:v>
                </c:pt>
                <c:pt idx="1">
                  <c:v>1.5314623276970886E-4</c:v>
                </c:pt>
                <c:pt idx="2">
                  <c:v>1.6511229036253716E-4</c:v>
                </c:pt>
                <c:pt idx="3">
                  <c:v>1.7684616611526123E-4</c:v>
                </c:pt>
                <c:pt idx="4">
                  <c:v>1.8834343311768578E-4</c:v>
                </c:pt>
                <c:pt idx="5">
                  <c:v>1.9959966445961543E-4</c:v>
                </c:pt>
                <c:pt idx="6">
                  <c:v>2.1061043323085507E-4</c:v>
                </c:pt>
                <c:pt idx="7">
                  <c:v>2.2137131252120937E-4</c:v>
                </c:pt>
                <c:pt idx="8">
                  <c:v>2.3187787542048303E-4</c:v>
                </c:pt>
                <c:pt idx="9">
                  <c:v>2.4212569501848072E-4</c:v>
                </c:pt>
                <c:pt idx="10">
                  <c:v>2.5211034440500728E-4</c:v>
                </c:pt>
                <c:pt idx="11">
                  <c:v>2.6182739666986743E-4</c:v>
                </c:pt>
                <c:pt idx="12">
                  <c:v>2.7127242490286574E-4</c:v>
                </c:pt>
                <c:pt idx="13">
                  <c:v>2.8044100219380718E-4</c:v>
                </c:pt>
                <c:pt idx="14">
                  <c:v>2.8932870163249629E-4</c:v>
                </c:pt>
                <c:pt idx="15">
                  <c:v>2.9793109630873787E-4</c:v>
                </c:pt>
                <c:pt idx="16">
                  <c:v>3.0624375931233668E-4</c:v>
                </c:pt>
                <c:pt idx="17">
                  <c:v>3.1426226373309737E-4</c:v>
                </c:pt>
                <c:pt idx="18">
                  <c:v>3.2198218266082468E-4</c:v>
                </c:pt>
                <c:pt idx="19">
                  <c:v>3.2939908918532327E-4</c:v>
                </c:pt>
                <c:pt idx="20">
                  <c:v>3.365085563963981E-4</c:v>
                </c:pt>
                <c:pt idx="21">
                  <c:v>3.4330615738385365E-4</c:v>
                </c:pt>
                <c:pt idx="22">
                  <c:v>3.4978746523749475E-4</c:v>
                </c:pt>
                <c:pt idx="23">
                  <c:v>3.5594805304712613E-4</c:v>
                </c:pt>
                <c:pt idx="24">
                  <c:v>3.6178349390255255E-4</c:v>
                </c:pt>
                <c:pt idx="25">
                  <c:v>3.6728936089357856E-4</c:v>
                </c:pt>
                <c:pt idx="26">
                  <c:v>3.7246122711000911E-4</c:v>
                </c:pt>
                <c:pt idx="27">
                  <c:v>3.7729466564164881E-4</c:v>
                </c:pt>
                <c:pt idx="28">
                  <c:v>3.8178524957830246E-4</c:v>
                </c:pt>
                <c:pt idx="29">
                  <c:v>3.859285520097747E-4</c:v>
                </c:pt>
                <c:pt idx="30">
                  <c:v>3.8972014602587024E-4</c:v>
                </c:pt>
                <c:pt idx="31">
                  <c:v>3.9315560471639394E-4</c:v>
                </c:pt>
                <c:pt idx="32">
                  <c:v>3.9623050117115039E-4</c:v>
                </c:pt>
                <c:pt idx="33">
                  <c:v>3.9894040847994439E-4</c:v>
                </c:pt>
                <c:pt idx="34">
                  <c:v>4.0128089973258066E-4</c:v>
                </c:pt>
                <c:pt idx="35">
                  <c:v>4.0324754801886387E-4</c:v>
                </c:pt>
                <c:pt idx="36">
                  <c:v>4.0483592642859886E-4</c:v>
                </c:pt>
                <c:pt idx="37">
                  <c:v>4.0604160805159025E-4</c:v>
                </c:pt>
                <c:pt idx="38">
                  <c:v>4.0686016597764281E-4</c:v>
                </c:pt>
                <c:pt idx="39">
                  <c:v>4.0728717329656118E-4</c:v>
                </c:pt>
                <c:pt idx="40">
                  <c:v>4.0731820309815027E-4</c:v>
                </c:pt>
                <c:pt idx="41">
                  <c:v>4.0694882847221468E-4</c:v>
                </c:pt>
                <c:pt idx="42">
                  <c:v>4.0617462250855911E-4</c:v>
                </c:pt>
                <c:pt idx="43">
                  <c:v>4.0499115829698836E-4</c:v>
                </c:pt>
                <c:pt idx="44">
                  <c:v>4.033940089273072E-4</c:v>
                </c:pt>
                <c:pt idx="45">
                  <c:v>4.0137874748932026E-4</c:v>
                </c:pt>
                <c:pt idx="46">
                  <c:v>3.9894094707283218E-4</c:v>
                </c:pt>
                <c:pt idx="47">
                  <c:v>3.960761807676479E-4</c:v>
                </c:pt>
                <c:pt idx="48">
                  <c:v>3.92780021663572E-4</c:v>
                </c:pt>
                <c:pt idx="49">
                  <c:v>3.8904804285040928E-4</c:v>
                </c:pt>
                <c:pt idx="50">
                  <c:v>3.8487581741796444E-4</c:v>
                </c:pt>
                <c:pt idx="51">
                  <c:v>3.8025891845604219E-4</c:v>
                </c:pt>
                <c:pt idx="52">
                  <c:v>3.7519291905444729E-4</c:v>
                </c:pt>
                <c:pt idx="53">
                  <c:v>3.6967339230298442E-4</c:v>
                </c:pt>
                <c:pt idx="54">
                  <c:v>3.6369591129145834E-4</c:v>
                </c:pt>
                <c:pt idx="55">
                  <c:v>3.5725604910967387E-4</c:v>
                </c:pt>
                <c:pt idx="56">
                  <c:v>3.5034937884743548E-4</c:v>
                </c:pt>
                <c:pt idx="57">
                  <c:v>3.4297147359454815E-4</c:v>
                </c:pt>
                <c:pt idx="58">
                  <c:v>3.3511790644081651E-4</c:v>
                </c:pt>
                <c:pt idx="59">
                  <c:v>3.2678425047604523E-4</c:v>
                </c:pt>
                <c:pt idx="60">
                  <c:v>3.1796607879003915E-4</c:v>
                </c:pt>
                <c:pt idx="61">
                  <c:v>3.0865896447260287E-4</c:v>
                </c:pt>
                <c:pt idx="62">
                  <c:v>2.988584806135412E-4</c:v>
                </c:pt>
                <c:pt idx="63">
                  <c:v>2.8856020030265889E-4</c:v>
                </c:pt>
                <c:pt idx="64">
                  <c:v>2.7775969662976069E-4</c:v>
                </c:pt>
                <c:pt idx="65">
                  <c:v>2.6645254268465115E-4</c:v>
                </c:pt>
                <c:pt idx="66">
                  <c:v>2.5463431155713513E-4</c:v>
                </c:pt>
                <c:pt idx="67">
                  <c:v>2.4230057633701737E-4</c:v>
                </c:pt>
                <c:pt idx="68">
                  <c:v>2.2944691011410256E-4</c:v>
                </c:pt>
                <c:pt idx="69">
                  <c:v>2.1606888597819541E-4</c:v>
                </c:pt>
                <c:pt idx="70">
                  <c:v>2.0216207701910069E-4</c:v>
                </c:pt>
                <c:pt idx="71">
                  <c:v>1.8772205632662311E-4</c:v>
                </c:pt>
                <c:pt idx="72">
                  <c:v>1.7274439699056733E-4</c:v>
                </c:pt>
                <c:pt idx="73">
                  <c:v>1.5722467210073821E-4</c:v>
                </c:pt>
                <c:pt idx="74">
                  <c:v>1.4115845474694036E-4</c:v>
                </c:pt>
                <c:pt idx="75">
                  <c:v>1.245413180189786E-4</c:v>
                </c:pt>
                <c:pt idx="76">
                  <c:v>1.0736883500665753E-4</c:v>
                </c:pt>
                <c:pt idx="77">
                  <c:v>8.9636578799781995E-5</c:v>
                </c:pt>
                <c:pt idx="78">
                  <c:v>7.1340122488156639E-5</c:v>
                </c:pt>
                <c:pt idx="79">
                  <c:v>5.2475039161586234E-5</c:v>
                </c:pt>
                <c:pt idx="80">
                  <c:v>3.3036901909875546E-5</c:v>
                </c:pt>
                <c:pt idx="81">
                  <c:v>1.3021283822829256E-5</c:v>
                </c:pt>
                <c:pt idx="82">
                  <c:v>-7.5762420097479994E-6</c:v>
                </c:pt>
                <c:pt idx="83">
                  <c:v>-2.876010249805137E-5</c:v>
                </c:pt>
                <c:pt idx="84">
                  <c:v>-5.0534724552276102E-5</c:v>
                </c:pt>
                <c:pt idx="85">
                  <c:v>-7.2904535082617475E-5</c:v>
                </c:pt>
                <c:pt idx="86">
                  <c:v>-9.5873960999270973E-5</c:v>
                </c:pt>
                <c:pt idx="87">
                  <c:v>-1.1944742921243168E-4</c:v>
                </c:pt>
                <c:pt idx="88">
                  <c:v>-1.4362936663229485E-4</c:v>
                </c:pt>
                <c:pt idx="89">
                  <c:v>-1.6842420016905592E-4</c:v>
                </c:pt>
                <c:pt idx="90">
                  <c:v>-1.9383635673290994E-4</c:v>
                </c:pt>
                <c:pt idx="91">
                  <c:v>-2.1987026323405233E-4</c:v>
                </c:pt>
                <c:pt idx="92">
                  <c:v>-2.4653034658267837E-4</c:v>
                </c:pt>
                <c:pt idx="93">
                  <c:v>-2.7382103368898329E-4</c:v>
                </c:pt>
                <c:pt idx="94">
                  <c:v>-3.0174675146316246E-4</c:v>
                </c:pt>
                <c:pt idx="95">
                  <c:v>-3.3031192681541089E-4</c:v>
                </c:pt>
                <c:pt idx="96">
                  <c:v>-3.5952098665592423E-4</c:v>
                </c:pt>
                <c:pt idx="97">
                  <c:v>-3.8937835789489732E-4</c:v>
                </c:pt>
                <c:pt idx="98">
                  <c:v>-4.198884674425257E-4</c:v>
                </c:pt>
                <c:pt idx="99">
                  <c:v>-4.5105574220900472E-4</c:v>
                </c:pt>
                <c:pt idx="100">
                  <c:v>-4.8288460910452956E-4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2B-4959-A310-EF2A90889760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3"/>
            <c:marker>
              <c:symbol val="circle"/>
              <c:size val="6"/>
              <c:spPr>
                <a:noFill/>
                <a:ln w="12700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0F2B-4959-A310-EF2A90889760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plus>
            <c:min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Corrección!$C$19:$C$31</c:f>
              <c:numCache>
                <c:formatCode>General</c:formatCode>
                <c:ptCount val="13"/>
                <c:pt idx="0">
                  <c:v>-10</c:v>
                </c:pt>
                <c:pt idx="1">
                  <c:v>-8</c:v>
                </c:pt>
                <c:pt idx="2">
                  <c:v>-5</c:v>
                </c:pt>
                <c:pt idx="3">
                  <c:v>-2</c:v>
                </c:pt>
                <c:pt idx="4">
                  <c:v>0</c:v>
                </c:pt>
                <c:pt idx="5">
                  <c:v>2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13</c:v>
                </c:pt>
                <c:pt idx="10">
                  <c:v>15</c:v>
                </c:pt>
              </c:numCache>
            </c:numRef>
          </c:xVal>
          <c:yVal>
            <c:numRef>
              <c:f>Corrección!$D$19:$D$31</c:f>
              <c:numCache>
                <c:formatCode>General</c:formatCode>
                <c:ptCount val="13"/>
                <c:pt idx="0">
                  <c:v>2.0000000000000001E-4</c:v>
                </c:pt>
                <c:pt idx="1">
                  <c:v>2.0000000000000001E-4</c:v>
                </c:pt>
                <c:pt idx="2">
                  <c:v>2.9999999999999997E-4</c:v>
                </c:pt>
                <c:pt idx="3">
                  <c:v>2.9999999999999997E-4</c:v>
                </c:pt>
                <c:pt idx="4">
                  <c:v>4.0000000000000002E-4</c:v>
                </c:pt>
                <c:pt idx="5">
                  <c:v>4.0000000000000002E-4</c:v>
                </c:pt>
                <c:pt idx="6">
                  <c:v>5.0000000000000001E-4</c:v>
                </c:pt>
                <c:pt idx="7">
                  <c:v>5.0000000000000001E-4</c:v>
                </c:pt>
                <c:pt idx="8">
                  <c:v>-4.0000000000000002E-4</c:v>
                </c:pt>
                <c:pt idx="9">
                  <c:v>-4.0000000000000002E-4</c:v>
                </c:pt>
                <c:pt idx="10">
                  <c:v>-2.9999999999999997E-4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F2B-4959-A310-EF2A90889760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Corrección!$F$75:$F$84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plus>
            <c:minus>
              <c:numRef>
                <c:f>Corrección!$F$75:$F$84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Corrección!$C$75:$C$84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Corrección!$D$75:$D$84</c:f>
              <c:numCache>
                <c:formatCode>0.0000</c:formatCode>
                <c:ptCount val="10"/>
                <c:pt idx="0">
                  <c:v>4.0731820309815027E-4</c:v>
                </c:pt>
                <c:pt idx="1">
                  <c:v>4.0731820309815027E-4</c:v>
                </c:pt>
                <c:pt idx="2">
                  <c:v>4.0731820309815027E-4</c:v>
                </c:pt>
                <c:pt idx="3">
                  <c:v>4.0731820309815027E-4</c:v>
                </c:pt>
                <c:pt idx="4">
                  <c:v>4.0731820309815027E-4</c:v>
                </c:pt>
                <c:pt idx="5">
                  <c:v>4.0731820309815027E-4</c:v>
                </c:pt>
                <c:pt idx="6">
                  <c:v>4.0731820309815027E-4</c:v>
                </c:pt>
                <c:pt idx="7">
                  <c:v>4.0731820309815027E-4</c:v>
                </c:pt>
                <c:pt idx="8">
                  <c:v>4.0731820309815027E-4</c:v>
                </c:pt>
                <c:pt idx="9">
                  <c:v>4.0731820309815027E-4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F2B-4959-A310-EF2A90889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manovacuómetro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Corrección!$C$626:$C$726</c:f>
              <c:numCache>
                <c:formatCode>0.0000</c:formatCode>
                <c:ptCount val="101"/>
                <c:pt idx="0">
                  <c:v>-10</c:v>
                </c:pt>
                <c:pt idx="1">
                  <c:v>-9.75</c:v>
                </c:pt>
                <c:pt idx="2">
                  <c:v>-9.5</c:v>
                </c:pt>
                <c:pt idx="3">
                  <c:v>-9.25</c:v>
                </c:pt>
                <c:pt idx="4">
                  <c:v>-9</c:v>
                </c:pt>
                <c:pt idx="5">
                  <c:v>-8.75</c:v>
                </c:pt>
                <c:pt idx="6">
                  <c:v>-8.5</c:v>
                </c:pt>
                <c:pt idx="7">
                  <c:v>-8.25</c:v>
                </c:pt>
                <c:pt idx="8">
                  <c:v>-8</c:v>
                </c:pt>
                <c:pt idx="9">
                  <c:v>-7.75</c:v>
                </c:pt>
                <c:pt idx="10">
                  <c:v>-7.5</c:v>
                </c:pt>
                <c:pt idx="11">
                  <c:v>-7.25</c:v>
                </c:pt>
                <c:pt idx="12">
                  <c:v>-7</c:v>
                </c:pt>
                <c:pt idx="13">
                  <c:v>-6.75</c:v>
                </c:pt>
                <c:pt idx="14">
                  <c:v>-6.5</c:v>
                </c:pt>
                <c:pt idx="15">
                  <c:v>-6.25</c:v>
                </c:pt>
                <c:pt idx="16">
                  <c:v>-6</c:v>
                </c:pt>
                <c:pt idx="17">
                  <c:v>-5.75</c:v>
                </c:pt>
                <c:pt idx="18">
                  <c:v>-5.5</c:v>
                </c:pt>
                <c:pt idx="19">
                  <c:v>-5.25</c:v>
                </c:pt>
                <c:pt idx="20">
                  <c:v>-5</c:v>
                </c:pt>
                <c:pt idx="21">
                  <c:v>-4.75</c:v>
                </c:pt>
                <c:pt idx="22">
                  <c:v>-4.5</c:v>
                </c:pt>
                <c:pt idx="23">
                  <c:v>-4.25</c:v>
                </c:pt>
                <c:pt idx="24">
                  <c:v>-4</c:v>
                </c:pt>
                <c:pt idx="25">
                  <c:v>-3.75</c:v>
                </c:pt>
                <c:pt idx="26">
                  <c:v>-3.5</c:v>
                </c:pt>
                <c:pt idx="27">
                  <c:v>-3.25</c:v>
                </c:pt>
                <c:pt idx="28">
                  <c:v>-3</c:v>
                </c:pt>
                <c:pt idx="29">
                  <c:v>-2.75</c:v>
                </c:pt>
                <c:pt idx="30">
                  <c:v>-2.5</c:v>
                </c:pt>
                <c:pt idx="31">
                  <c:v>-2.25</c:v>
                </c:pt>
                <c:pt idx="32">
                  <c:v>-2</c:v>
                </c:pt>
                <c:pt idx="33">
                  <c:v>-1.75</c:v>
                </c:pt>
                <c:pt idx="34">
                  <c:v>-1.5</c:v>
                </c:pt>
                <c:pt idx="35">
                  <c:v>-1.25</c:v>
                </c:pt>
                <c:pt idx="36">
                  <c:v>-1</c:v>
                </c:pt>
                <c:pt idx="37">
                  <c:v>-0.75</c:v>
                </c:pt>
                <c:pt idx="38">
                  <c:v>-0.5</c:v>
                </c:pt>
                <c:pt idx="39">
                  <c:v>-0.25</c:v>
                </c:pt>
                <c:pt idx="40">
                  <c:v>0</c:v>
                </c:pt>
                <c:pt idx="41">
                  <c:v>0.25</c:v>
                </c:pt>
                <c:pt idx="42">
                  <c:v>0.5</c:v>
                </c:pt>
                <c:pt idx="43">
                  <c:v>0.75</c:v>
                </c:pt>
                <c:pt idx="44">
                  <c:v>1</c:v>
                </c:pt>
                <c:pt idx="45">
                  <c:v>1.25</c:v>
                </c:pt>
                <c:pt idx="46">
                  <c:v>1.5</c:v>
                </c:pt>
                <c:pt idx="47">
                  <c:v>1.75</c:v>
                </c:pt>
                <c:pt idx="48">
                  <c:v>2</c:v>
                </c:pt>
                <c:pt idx="49">
                  <c:v>2.25</c:v>
                </c:pt>
                <c:pt idx="50">
                  <c:v>2.5</c:v>
                </c:pt>
                <c:pt idx="51">
                  <c:v>2.75</c:v>
                </c:pt>
                <c:pt idx="52">
                  <c:v>3</c:v>
                </c:pt>
                <c:pt idx="53">
                  <c:v>3.25</c:v>
                </c:pt>
                <c:pt idx="54">
                  <c:v>3.5</c:v>
                </c:pt>
                <c:pt idx="55">
                  <c:v>3.75</c:v>
                </c:pt>
                <c:pt idx="56">
                  <c:v>4</c:v>
                </c:pt>
                <c:pt idx="57">
                  <c:v>4.25</c:v>
                </c:pt>
                <c:pt idx="58">
                  <c:v>4.5</c:v>
                </c:pt>
                <c:pt idx="59">
                  <c:v>4.75</c:v>
                </c:pt>
                <c:pt idx="60">
                  <c:v>5</c:v>
                </c:pt>
                <c:pt idx="61">
                  <c:v>5.25</c:v>
                </c:pt>
                <c:pt idx="62">
                  <c:v>5.5</c:v>
                </c:pt>
                <c:pt idx="63">
                  <c:v>5.75</c:v>
                </c:pt>
                <c:pt idx="64">
                  <c:v>6</c:v>
                </c:pt>
                <c:pt idx="65">
                  <c:v>6.25</c:v>
                </c:pt>
                <c:pt idx="66">
                  <c:v>6.5</c:v>
                </c:pt>
                <c:pt idx="67">
                  <c:v>6.75</c:v>
                </c:pt>
                <c:pt idx="68">
                  <c:v>7</c:v>
                </c:pt>
                <c:pt idx="69">
                  <c:v>7.25</c:v>
                </c:pt>
                <c:pt idx="70">
                  <c:v>7.5</c:v>
                </c:pt>
                <c:pt idx="71">
                  <c:v>7.75</c:v>
                </c:pt>
                <c:pt idx="72">
                  <c:v>8</c:v>
                </c:pt>
                <c:pt idx="73">
                  <c:v>8.25</c:v>
                </c:pt>
                <c:pt idx="74">
                  <c:v>8.5</c:v>
                </c:pt>
                <c:pt idx="75">
                  <c:v>8.75</c:v>
                </c:pt>
                <c:pt idx="76">
                  <c:v>9</c:v>
                </c:pt>
                <c:pt idx="77">
                  <c:v>9.25</c:v>
                </c:pt>
                <c:pt idx="78">
                  <c:v>9.5</c:v>
                </c:pt>
                <c:pt idx="79">
                  <c:v>9.75</c:v>
                </c:pt>
                <c:pt idx="80">
                  <c:v>10</c:v>
                </c:pt>
                <c:pt idx="81">
                  <c:v>10.25</c:v>
                </c:pt>
                <c:pt idx="82">
                  <c:v>10.5</c:v>
                </c:pt>
                <c:pt idx="83">
                  <c:v>10.75</c:v>
                </c:pt>
                <c:pt idx="84">
                  <c:v>11</c:v>
                </c:pt>
                <c:pt idx="85">
                  <c:v>11.25</c:v>
                </c:pt>
                <c:pt idx="86">
                  <c:v>11.5</c:v>
                </c:pt>
                <c:pt idx="87">
                  <c:v>11.75</c:v>
                </c:pt>
                <c:pt idx="88">
                  <c:v>12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13</c:v>
                </c:pt>
                <c:pt idx="93">
                  <c:v>13.25</c:v>
                </c:pt>
                <c:pt idx="94">
                  <c:v>13.5</c:v>
                </c:pt>
                <c:pt idx="95">
                  <c:v>13.75</c:v>
                </c:pt>
                <c:pt idx="96">
                  <c:v>14</c:v>
                </c:pt>
                <c:pt idx="97">
                  <c:v>14.25</c:v>
                </c:pt>
                <c:pt idx="98">
                  <c:v>14.5</c:v>
                </c:pt>
                <c:pt idx="99">
                  <c:v>14.75</c:v>
                </c:pt>
                <c:pt idx="100">
                  <c:v>15</c:v>
                </c:pt>
              </c:numCache>
            </c:numRef>
          </c:xVal>
          <c:yVal>
            <c:numRef>
              <c:f>Corrección!$D$626:$D$726</c:f>
              <c:numCache>
                <c:formatCode>0.0000</c:formatCode>
                <c:ptCount val="101"/>
                <c:pt idx="0">
                  <c:v>1.409524202469716E-4</c:v>
                </c:pt>
                <c:pt idx="1">
                  <c:v>1.5314623276970886E-4</c:v>
                </c:pt>
                <c:pt idx="2">
                  <c:v>1.6511229036253716E-4</c:v>
                </c:pt>
                <c:pt idx="3">
                  <c:v>1.7684616611526123E-4</c:v>
                </c:pt>
                <c:pt idx="4">
                  <c:v>1.8834343311768578E-4</c:v>
                </c:pt>
                <c:pt idx="5">
                  <c:v>1.9959966445961543E-4</c:v>
                </c:pt>
                <c:pt idx="6">
                  <c:v>2.1061043323085507E-4</c:v>
                </c:pt>
                <c:pt idx="7">
                  <c:v>2.2137131252120937E-4</c:v>
                </c:pt>
                <c:pt idx="8">
                  <c:v>2.3187787542048303E-4</c:v>
                </c:pt>
                <c:pt idx="9">
                  <c:v>2.4212569501848072E-4</c:v>
                </c:pt>
                <c:pt idx="10">
                  <c:v>2.5211034440500728E-4</c:v>
                </c:pt>
                <c:pt idx="11">
                  <c:v>2.6182739666986743E-4</c:v>
                </c:pt>
                <c:pt idx="12">
                  <c:v>2.7127242490286574E-4</c:v>
                </c:pt>
                <c:pt idx="13">
                  <c:v>2.8044100219380718E-4</c:v>
                </c:pt>
                <c:pt idx="14">
                  <c:v>2.8932870163249629E-4</c:v>
                </c:pt>
                <c:pt idx="15">
                  <c:v>2.9793109630873787E-4</c:v>
                </c:pt>
                <c:pt idx="16">
                  <c:v>3.0624375931233668E-4</c:v>
                </c:pt>
                <c:pt idx="17">
                  <c:v>3.1426226373309737E-4</c:v>
                </c:pt>
                <c:pt idx="18">
                  <c:v>3.2198218266082468E-4</c:v>
                </c:pt>
                <c:pt idx="19">
                  <c:v>3.2939908918532327E-4</c:v>
                </c:pt>
                <c:pt idx="20">
                  <c:v>3.365085563963981E-4</c:v>
                </c:pt>
                <c:pt idx="21">
                  <c:v>3.4330615738385365E-4</c:v>
                </c:pt>
                <c:pt idx="22">
                  <c:v>3.4978746523749475E-4</c:v>
                </c:pt>
                <c:pt idx="23">
                  <c:v>3.5594805304712613E-4</c:v>
                </c:pt>
                <c:pt idx="24">
                  <c:v>3.6178349390255255E-4</c:v>
                </c:pt>
                <c:pt idx="25">
                  <c:v>3.6728936089357856E-4</c:v>
                </c:pt>
                <c:pt idx="26">
                  <c:v>3.7246122711000911E-4</c:v>
                </c:pt>
                <c:pt idx="27">
                  <c:v>3.7729466564164881E-4</c:v>
                </c:pt>
                <c:pt idx="28">
                  <c:v>3.8178524957830246E-4</c:v>
                </c:pt>
                <c:pt idx="29">
                  <c:v>3.859285520097747E-4</c:v>
                </c:pt>
                <c:pt idx="30">
                  <c:v>3.8972014602587024E-4</c:v>
                </c:pt>
                <c:pt idx="31">
                  <c:v>3.9315560471639394E-4</c:v>
                </c:pt>
                <c:pt idx="32">
                  <c:v>3.9623050117115039E-4</c:v>
                </c:pt>
                <c:pt idx="33">
                  <c:v>3.9894040847994439E-4</c:v>
                </c:pt>
                <c:pt idx="34">
                  <c:v>4.0128089973258066E-4</c:v>
                </c:pt>
                <c:pt idx="35">
                  <c:v>4.0324754801886387E-4</c:v>
                </c:pt>
                <c:pt idx="36">
                  <c:v>4.0483592642859886E-4</c:v>
                </c:pt>
                <c:pt idx="37">
                  <c:v>4.0604160805159025E-4</c:v>
                </c:pt>
                <c:pt idx="38">
                  <c:v>4.0686016597764281E-4</c:v>
                </c:pt>
                <c:pt idx="39">
                  <c:v>4.0728717329656118E-4</c:v>
                </c:pt>
                <c:pt idx="40">
                  <c:v>4.0731820309815027E-4</c:v>
                </c:pt>
                <c:pt idx="41">
                  <c:v>4.0694882847221468E-4</c:v>
                </c:pt>
                <c:pt idx="42">
                  <c:v>4.0617462250855911E-4</c:v>
                </c:pt>
                <c:pt idx="43">
                  <c:v>4.0499115829698836E-4</c:v>
                </c:pt>
                <c:pt idx="44">
                  <c:v>4.033940089273072E-4</c:v>
                </c:pt>
                <c:pt idx="45">
                  <c:v>4.0137874748932026E-4</c:v>
                </c:pt>
                <c:pt idx="46">
                  <c:v>3.9894094707283218E-4</c:v>
                </c:pt>
                <c:pt idx="47">
                  <c:v>3.960761807676479E-4</c:v>
                </c:pt>
                <c:pt idx="48">
                  <c:v>3.92780021663572E-4</c:v>
                </c:pt>
                <c:pt idx="49">
                  <c:v>3.8904804285040928E-4</c:v>
                </c:pt>
                <c:pt idx="50">
                  <c:v>3.8487581741796444E-4</c:v>
                </c:pt>
                <c:pt idx="51">
                  <c:v>3.8025891845604219E-4</c:v>
                </c:pt>
                <c:pt idx="52">
                  <c:v>3.7519291905444729E-4</c:v>
                </c:pt>
                <c:pt idx="53">
                  <c:v>3.6967339230298442E-4</c:v>
                </c:pt>
                <c:pt idx="54">
                  <c:v>3.6369591129145834E-4</c:v>
                </c:pt>
                <c:pt idx="55">
                  <c:v>3.5725604910967387E-4</c:v>
                </c:pt>
                <c:pt idx="56">
                  <c:v>3.5034937884743548E-4</c:v>
                </c:pt>
                <c:pt idx="57">
                  <c:v>3.4297147359454815E-4</c:v>
                </c:pt>
                <c:pt idx="58">
                  <c:v>3.3511790644081651E-4</c:v>
                </c:pt>
                <c:pt idx="59">
                  <c:v>3.2678425047604523E-4</c:v>
                </c:pt>
                <c:pt idx="60">
                  <c:v>3.1796607879003915E-4</c:v>
                </c:pt>
                <c:pt idx="61">
                  <c:v>3.0865896447260287E-4</c:v>
                </c:pt>
                <c:pt idx="62">
                  <c:v>2.988584806135412E-4</c:v>
                </c:pt>
                <c:pt idx="63">
                  <c:v>2.8856020030265889E-4</c:v>
                </c:pt>
                <c:pt idx="64">
                  <c:v>2.7775969662976069E-4</c:v>
                </c:pt>
                <c:pt idx="65">
                  <c:v>2.6645254268465115E-4</c:v>
                </c:pt>
                <c:pt idx="66">
                  <c:v>2.5463431155713513E-4</c:v>
                </c:pt>
                <c:pt idx="67">
                  <c:v>2.4230057633701737E-4</c:v>
                </c:pt>
                <c:pt idx="68">
                  <c:v>2.2944691011410256E-4</c:v>
                </c:pt>
                <c:pt idx="69">
                  <c:v>2.1606888597819541E-4</c:v>
                </c:pt>
                <c:pt idx="70">
                  <c:v>2.0216207701910069E-4</c:v>
                </c:pt>
                <c:pt idx="71">
                  <c:v>1.8772205632662311E-4</c:v>
                </c:pt>
                <c:pt idx="72">
                  <c:v>1.7274439699056733E-4</c:v>
                </c:pt>
                <c:pt idx="73">
                  <c:v>1.5722467210073821E-4</c:v>
                </c:pt>
                <c:pt idx="74">
                  <c:v>1.4115845474694036E-4</c:v>
                </c:pt>
                <c:pt idx="75">
                  <c:v>1.245413180189786E-4</c:v>
                </c:pt>
                <c:pt idx="76">
                  <c:v>1.0736883500665753E-4</c:v>
                </c:pt>
                <c:pt idx="77">
                  <c:v>8.9636578799781995E-5</c:v>
                </c:pt>
                <c:pt idx="78">
                  <c:v>7.1340122488156639E-5</c:v>
                </c:pt>
                <c:pt idx="79">
                  <c:v>5.2475039161586234E-5</c:v>
                </c:pt>
                <c:pt idx="80">
                  <c:v>3.3036901909875546E-5</c:v>
                </c:pt>
                <c:pt idx="81">
                  <c:v>1.3021283822829256E-5</c:v>
                </c:pt>
                <c:pt idx="82">
                  <c:v>-7.5762420097479994E-6</c:v>
                </c:pt>
                <c:pt idx="83">
                  <c:v>-2.876010249805137E-5</c:v>
                </c:pt>
                <c:pt idx="84">
                  <c:v>-5.0534724552276102E-5</c:v>
                </c:pt>
                <c:pt idx="85">
                  <c:v>-7.2904535082617475E-5</c:v>
                </c:pt>
                <c:pt idx="86">
                  <c:v>-9.5873960999270973E-5</c:v>
                </c:pt>
                <c:pt idx="87">
                  <c:v>-1.1944742921243168E-4</c:v>
                </c:pt>
                <c:pt idx="88">
                  <c:v>-1.4362936663229485E-4</c:v>
                </c:pt>
                <c:pt idx="89">
                  <c:v>-1.6842420016905592E-4</c:v>
                </c:pt>
                <c:pt idx="90">
                  <c:v>-1.9383635673290994E-4</c:v>
                </c:pt>
                <c:pt idx="91">
                  <c:v>-2.1987026323405233E-4</c:v>
                </c:pt>
                <c:pt idx="92">
                  <c:v>-2.4653034658267837E-4</c:v>
                </c:pt>
                <c:pt idx="93">
                  <c:v>-2.7382103368898329E-4</c:v>
                </c:pt>
                <c:pt idx="94">
                  <c:v>-3.0174675146316246E-4</c:v>
                </c:pt>
                <c:pt idx="95">
                  <c:v>-3.3031192681541089E-4</c:v>
                </c:pt>
                <c:pt idx="96">
                  <c:v>-3.5952098665592423E-4</c:v>
                </c:pt>
                <c:pt idx="97">
                  <c:v>-3.8937835789489732E-4</c:v>
                </c:pt>
                <c:pt idx="98">
                  <c:v>-4.198884674425257E-4</c:v>
                </c:pt>
                <c:pt idx="99">
                  <c:v>-4.5105574220900472E-4</c:v>
                </c:pt>
                <c:pt idx="100">
                  <c:v>-4.8288460910452956E-4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A8-4D5A-A0EA-EC0B14F93CB6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3"/>
            <c:marker>
              <c:symbol val="circle"/>
              <c:size val="6"/>
              <c:spPr>
                <a:noFill/>
                <a:ln w="12700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8A8-4D5A-A0EA-EC0B14F93CB6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plus>
            <c:min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Corrección!$C$19:$C$31</c:f>
              <c:numCache>
                <c:formatCode>General</c:formatCode>
                <c:ptCount val="13"/>
                <c:pt idx="0">
                  <c:v>-10</c:v>
                </c:pt>
                <c:pt idx="1">
                  <c:v>-8</c:v>
                </c:pt>
                <c:pt idx="2">
                  <c:v>-5</c:v>
                </c:pt>
                <c:pt idx="3">
                  <c:v>-2</c:v>
                </c:pt>
                <c:pt idx="4">
                  <c:v>0</c:v>
                </c:pt>
                <c:pt idx="5">
                  <c:v>2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13</c:v>
                </c:pt>
                <c:pt idx="10">
                  <c:v>15</c:v>
                </c:pt>
              </c:numCache>
            </c:numRef>
          </c:xVal>
          <c:yVal>
            <c:numRef>
              <c:f>Corrección!$D$19:$D$31</c:f>
              <c:numCache>
                <c:formatCode>General</c:formatCode>
                <c:ptCount val="13"/>
                <c:pt idx="0">
                  <c:v>2.0000000000000001E-4</c:v>
                </c:pt>
                <c:pt idx="1">
                  <c:v>2.0000000000000001E-4</c:v>
                </c:pt>
                <c:pt idx="2">
                  <c:v>2.9999999999999997E-4</c:v>
                </c:pt>
                <c:pt idx="3">
                  <c:v>2.9999999999999997E-4</c:v>
                </c:pt>
                <c:pt idx="4">
                  <c:v>4.0000000000000002E-4</c:v>
                </c:pt>
                <c:pt idx="5">
                  <c:v>4.0000000000000002E-4</c:v>
                </c:pt>
                <c:pt idx="6">
                  <c:v>5.0000000000000001E-4</c:v>
                </c:pt>
                <c:pt idx="7">
                  <c:v>5.0000000000000001E-4</c:v>
                </c:pt>
                <c:pt idx="8">
                  <c:v>-4.0000000000000002E-4</c:v>
                </c:pt>
                <c:pt idx="9">
                  <c:v>-4.0000000000000002E-4</c:v>
                </c:pt>
                <c:pt idx="10">
                  <c:v>-2.9999999999999997E-4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A8-4D5A-A0EA-EC0B14F93CB6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Corrección!$F$85:$F$94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plus>
            <c:minus>
              <c:numRef>
                <c:f>Corrección!$F$85:$F$94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Corrección!$C$85:$C$94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Corrección!$D$85:$D$94</c:f>
              <c:numCache>
                <c:formatCode>0.0000</c:formatCode>
                <c:ptCount val="10"/>
                <c:pt idx="0">
                  <c:v>4.0731820309815027E-4</c:v>
                </c:pt>
                <c:pt idx="1">
                  <c:v>4.0731820309815027E-4</c:v>
                </c:pt>
                <c:pt idx="2">
                  <c:v>4.0731820309815027E-4</c:v>
                </c:pt>
                <c:pt idx="3">
                  <c:v>4.0731820309815027E-4</c:v>
                </c:pt>
                <c:pt idx="4">
                  <c:v>4.0731820309815027E-4</c:v>
                </c:pt>
                <c:pt idx="5">
                  <c:v>4.0731820309815027E-4</c:v>
                </c:pt>
                <c:pt idx="6">
                  <c:v>4.0731820309815027E-4</c:v>
                </c:pt>
                <c:pt idx="7">
                  <c:v>4.0731820309815027E-4</c:v>
                </c:pt>
                <c:pt idx="8">
                  <c:v>4.0731820309815027E-4</c:v>
                </c:pt>
                <c:pt idx="9">
                  <c:v>4.0731820309815027E-4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8A8-4D5A-A0EA-EC0B14F93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manovacuómetro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Corrección!$E$626:$E$726</c:f>
              <c:numCache>
                <c:formatCode>0.0000</c:formatCode>
                <c:ptCount val="101"/>
                <c:pt idx="0">
                  <c:v>0</c:v>
                </c:pt>
                <c:pt idx="1">
                  <c:v>60</c:v>
                </c:pt>
                <c:pt idx="2">
                  <c:v>120</c:v>
                </c:pt>
                <c:pt idx="3">
                  <c:v>180</c:v>
                </c:pt>
                <c:pt idx="4">
                  <c:v>240</c:v>
                </c:pt>
                <c:pt idx="5">
                  <c:v>300</c:v>
                </c:pt>
                <c:pt idx="6">
                  <c:v>360</c:v>
                </c:pt>
                <c:pt idx="7">
                  <c:v>420</c:v>
                </c:pt>
                <c:pt idx="8">
                  <c:v>480</c:v>
                </c:pt>
                <c:pt idx="9">
                  <c:v>540</c:v>
                </c:pt>
                <c:pt idx="10">
                  <c:v>600</c:v>
                </c:pt>
                <c:pt idx="11">
                  <c:v>660</c:v>
                </c:pt>
                <c:pt idx="12">
                  <c:v>720</c:v>
                </c:pt>
                <c:pt idx="13">
                  <c:v>780</c:v>
                </c:pt>
                <c:pt idx="14">
                  <c:v>840</c:v>
                </c:pt>
                <c:pt idx="15">
                  <c:v>900</c:v>
                </c:pt>
                <c:pt idx="16">
                  <c:v>960</c:v>
                </c:pt>
                <c:pt idx="17">
                  <c:v>1020</c:v>
                </c:pt>
                <c:pt idx="18">
                  <c:v>1080</c:v>
                </c:pt>
                <c:pt idx="19">
                  <c:v>1140</c:v>
                </c:pt>
                <c:pt idx="20">
                  <c:v>1200</c:v>
                </c:pt>
                <c:pt idx="21">
                  <c:v>1260</c:v>
                </c:pt>
                <c:pt idx="22">
                  <c:v>1320</c:v>
                </c:pt>
                <c:pt idx="23">
                  <c:v>1380</c:v>
                </c:pt>
                <c:pt idx="24">
                  <c:v>1440</c:v>
                </c:pt>
                <c:pt idx="25">
                  <c:v>1500</c:v>
                </c:pt>
                <c:pt idx="26">
                  <c:v>1560</c:v>
                </c:pt>
                <c:pt idx="27">
                  <c:v>1620</c:v>
                </c:pt>
                <c:pt idx="28">
                  <c:v>1680</c:v>
                </c:pt>
                <c:pt idx="29">
                  <c:v>1740</c:v>
                </c:pt>
                <c:pt idx="30">
                  <c:v>1800</c:v>
                </c:pt>
                <c:pt idx="31">
                  <c:v>1860</c:v>
                </c:pt>
                <c:pt idx="32">
                  <c:v>1920</c:v>
                </c:pt>
                <c:pt idx="33">
                  <c:v>1980</c:v>
                </c:pt>
                <c:pt idx="34">
                  <c:v>2040</c:v>
                </c:pt>
                <c:pt idx="35">
                  <c:v>2100</c:v>
                </c:pt>
                <c:pt idx="36">
                  <c:v>2160</c:v>
                </c:pt>
                <c:pt idx="37">
                  <c:v>2220</c:v>
                </c:pt>
                <c:pt idx="38">
                  <c:v>2280</c:v>
                </c:pt>
                <c:pt idx="39">
                  <c:v>2340</c:v>
                </c:pt>
                <c:pt idx="40">
                  <c:v>2400</c:v>
                </c:pt>
                <c:pt idx="41">
                  <c:v>2460</c:v>
                </c:pt>
                <c:pt idx="42">
                  <c:v>2520</c:v>
                </c:pt>
                <c:pt idx="43">
                  <c:v>2580</c:v>
                </c:pt>
                <c:pt idx="44">
                  <c:v>2640</c:v>
                </c:pt>
                <c:pt idx="45">
                  <c:v>2700</c:v>
                </c:pt>
                <c:pt idx="46">
                  <c:v>2760</c:v>
                </c:pt>
                <c:pt idx="47">
                  <c:v>2820</c:v>
                </c:pt>
                <c:pt idx="48">
                  <c:v>2880</c:v>
                </c:pt>
                <c:pt idx="49">
                  <c:v>2940</c:v>
                </c:pt>
                <c:pt idx="50">
                  <c:v>3000</c:v>
                </c:pt>
                <c:pt idx="51">
                  <c:v>3060</c:v>
                </c:pt>
                <c:pt idx="52">
                  <c:v>3120</c:v>
                </c:pt>
                <c:pt idx="53">
                  <c:v>3180</c:v>
                </c:pt>
                <c:pt idx="54">
                  <c:v>3240</c:v>
                </c:pt>
                <c:pt idx="55">
                  <c:v>3300</c:v>
                </c:pt>
                <c:pt idx="56">
                  <c:v>3360</c:v>
                </c:pt>
                <c:pt idx="57">
                  <c:v>3420</c:v>
                </c:pt>
                <c:pt idx="58">
                  <c:v>3480</c:v>
                </c:pt>
                <c:pt idx="59">
                  <c:v>3540</c:v>
                </c:pt>
                <c:pt idx="60">
                  <c:v>3600</c:v>
                </c:pt>
                <c:pt idx="61">
                  <c:v>3660</c:v>
                </c:pt>
                <c:pt idx="62">
                  <c:v>3720</c:v>
                </c:pt>
                <c:pt idx="63">
                  <c:v>3780</c:v>
                </c:pt>
                <c:pt idx="64">
                  <c:v>3840</c:v>
                </c:pt>
                <c:pt idx="65">
                  <c:v>3900</c:v>
                </c:pt>
                <c:pt idx="66">
                  <c:v>3960</c:v>
                </c:pt>
                <c:pt idx="67">
                  <c:v>4020</c:v>
                </c:pt>
                <c:pt idx="68">
                  <c:v>4080</c:v>
                </c:pt>
                <c:pt idx="69">
                  <c:v>4140</c:v>
                </c:pt>
                <c:pt idx="70">
                  <c:v>4200</c:v>
                </c:pt>
                <c:pt idx="71">
                  <c:v>4260</c:v>
                </c:pt>
                <c:pt idx="72">
                  <c:v>4320</c:v>
                </c:pt>
                <c:pt idx="73">
                  <c:v>4380</c:v>
                </c:pt>
                <c:pt idx="74">
                  <c:v>4440</c:v>
                </c:pt>
                <c:pt idx="75">
                  <c:v>4500</c:v>
                </c:pt>
                <c:pt idx="76">
                  <c:v>4560</c:v>
                </c:pt>
                <c:pt idx="77">
                  <c:v>4620</c:v>
                </c:pt>
                <c:pt idx="78">
                  <c:v>4680</c:v>
                </c:pt>
                <c:pt idx="79">
                  <c:v>4740</c:v>
                </c:pt>
                <c:pt idx="80">
                  <c:v>4800</c:v>
                </c:pt>
                <c:pt idx="81">
                  <c:v>4860</c:v>
                </c:pt>
                <c:pt idx="82">
                  <c:v>4920</c:v>
                </c:pt>
                <c:pt idx="83">
                  <c:v>4980</c:v>
                </c:pt>
                <c:pt idx="84">
                  <c:v>5040</c:v>
                </c:pt>
                <c:pt idx="85">
                  <c:v>5100</c:v>
                </c:pt>
                <c:pt idx="86">
                  <c:v>5160</c:v>
                </c:pt>
                <c:pt idx="87">
                  <c:v>5220</c:v>
                </c:pt>
                <c:pt idx="88">
                  <c:v>5280</c:v>
                </c:pt>
                <c:pt idx="89">
                  <c:v>5340</c:v>
                </c:pt>
                <c:pt idx="90">
                  <c:v>5400</c:v>
                </c:pt>
                <c:pt idx="91">
                  <c:v>5460</c:v>
                </c:pt>
                <c:pt idx="92">
                  <c:v>5520</c:v>
                </c:pt>
                <c:pt idx="93">
                  <c:v>5580</c:v>
                </c:pt>
                <c:pt idx="94">
                  <c:v>5640</c:v>
                </c:pt>
                <c:pt idx="95">
                  <c:v>5700</c:v>
                </c:pt>
                <c:pt idx="96">
                  <c:v>5760</c:v>
                </c:pt>
                <c:pt idx="97">
                  <c:v>5820</c:v>
                </c:pt>
                <c:pt idx="98">
                  <c:v>5880</c:v>
                </c:pt>
                <c:pt idx="99">
                  <c:v>5940</c:v>
                </c:pt>
                <c:pt idx="100">
                  <c:v>6000</c:v>
                </c:pt>
              </c:numCache>
            </c:numRef>
          </c:xVal>
          <c:yVal>
            <c:numRef>
              <c:f>Corrección!$F$626:$F$726</c:f>
              <c:numCache>
                <c:formatCode>0.0000</c:formatCode>
                <c:ptCount val="101"/>
                <c:pt idx="0">
                  <c:v>-0.20194848658088754</c:v>
                </c:pt>
                <c:pt idx="1">
                  <c:v>-0.19012909431081698</c:v>
                </c:pt>
                <c:pt idx="2">
                  <c:v>-0.1787133931336064</c:v>
                </c:pt>
                <c:pt idx="3">
                  <c:v>-0.16769176996826568</c:v>
                </c:pt>
                <c:pt idx="4">
                  <c:v>-0.15705461173380464</c:v>
                </c:pt>
                <c:pt idx="5">
                  <c:v>-0.14679230534923318</c:v>
                </c:pt>
                <c:pt idx="6">
                  <c:v>-0.1368952377335611</c:v>
                </c:pt>
                <c:pt idx="7">
                  <c:v>-0.12735379580579828</c:v>
                </c:pt>
                <c:pt idx="8">
                  <c:v>-0.11815836648495458</c:v>
                </c:pt>
                <c:pt idx="9">
                  <c:v>-0.10929933669003984</c:v>
                </c:pt>
                <c:pt idx="10">
                  <c:v>-0.10076709334006388</c:v>
                </c:pt>
                <c:pt idx="11">
                  <c:v>-9.2552023354036603E-2</c:v>
                </c:pt>
                <c:pt idx="12">
                  <c:v>-8.4644513650967812E-2</c:v>
                </c:pt>
                <c:pt idx="13">
                  <c:v>-7.7034951149867387E-2</c:v>
                </c:pt>
                <c:pt idx="14">
                  <c:v>-6.9713722769745204E-2</c:v>
                </c:pt>
                <c:pt idx="15">
                  <c:v>-6.2671215429611044E-2</c:v>
                </c:pt>
                <c:pt idx="16">
                  <c:v>-5.5897816048474797E-2</c:v>
                </c:pt>
                <c:pt idx="17">
                  <c:v>-4.9383911545346354E-2</c:v>
                </c:pt>
                <c:pt idx="18">
                  <c:v>-4.3119888839235503E-2</c:v>
                </c:pt>
                <c:pt idx="19">
                  <c:v>-3.7096134849152106E-2</c:v>
                </c:pt>
                <c:pt idx="20">
                  <c:v>-3.1303036494106054E-2</c:v>
                </c:pt>
                <c:pt idx="21">
                  <c:v>-2.5730980693107114E-2</c:v>
                </c:pt>
                <c:pt idx="22">
                  <c:v>-2.0370354365165291E-2</c:v>
                </c:pt>
                <c:pt idx="23">
                  <c:v>-1.521154442929027E-2</c:v>
                </c:pt>
                <c:pt idx="24">
                  <c:v>-1.0244937804491986E-2</c:v>
                </c:pt>
                <c:pt idx="25">
                  <c:v>-5.4609214097802797E-3</c:v>
                </c:pt>
                <c:pt idx="26">
                  <c:v>-8.4988216416497994E-4</c:v>
                </c:pt>
                <c:pt idx="27">
                  <c:v>3.5977930133440361E-3</c:v>
                </c:pt>
                <c:pt idx="28">
                  <c:v>7.8917172037368602E-3</c:v>
                </c:pt>
                <c:pt idx="29">
                  <c:v>1.2041503488003771E-2</c:v>
                </c:pt>
                <c:pt idx="30">
                  <c:v>1.6056764947134872E-2</c:v>
                </c:pt>
                <c:pt idx="31">
                  <c:v>1.9947114662120277E-2</c:v>
                </c:pt>
                <c:pt idx="32">
                  <c:v>2.3722165713950139E-2</c:v>
                </c:pt>
                <c:pt idx="33">
                  <c:v>2.7391531183614599E-2</c:v>
                </c:pt>
                <c:pt idx="34">
                  <c:v>3.096482415210379E-2</c:v>
                </c:pt>
                <c:pt idx="35">
                  <c:v>3.4451657700407978E-2</c:v>
                </c:pt>
                <c:pt idx="36">
                  <c:v>3.786164490951717E-2</c:v>
                </c:pt>
                <c:pt idx="37">
                  <c:v>4.120439886042164E-2</c:v>
                </c:pt>
                <c:pt idx="38">
                  <c:v>4.4489532634111442E-2</c:v>
                </c:pt>
                <c:pt idx="39">
                  <c:v>4.7726659311576741E-2</c:v>
                </c:pt>
                <c:pt idx="40">
                  <c:v>5.0925391973807702E-2</c:v>
                </c:pt>
                <c:pt idx="41">
                  <c:v>5.4095343701794502E-2</c:v>
                </c:pt>
                <c:pt idx="42">
                  <c:v>5.724612757652732E-2</c:v>
                </c:pt>
                <c:pt idx="43">
                  <c:v>6.0387356678996029E-2</c:v>
                </c:pt>
                <c:pt idx="44">
                  <c:v>6.3528644090191128E-2</c:v>
                </c:pt>
                <c:pt idx="45">
                  <c:v>6.6679602891102668E-2</c:v>
                </c:pt>
                <c:pt idx="46">
                  <c:v>6.9849846162720719E-2</c:v>
                </c:pt>
                <c:pt idx="47">
                  <c:v>7.3048986986035486E-2</c:v>
                </c:pt>
                <c:pt idx="48">
                  <c:v>7.6286638442037064E-2</c:v>
                </c:pt>
                <c:pt idx="49">
                  <c:v>7.9572413611715742E-2</c:v>
                </c:pt>
                <c:pt idx="50">
                  <c:v>8.2915925576061422E-2</c:v>
                </c:pt>
                <c:pt idx="51">
                  <c:v>8.6326787416064504E-2</c:v>
                </c:pt>
                <c:pt idx="52">
                  <c:v>8.9814612212715E-2</c:v>
                </c:pt>
                <c:pt idx="53">
                  <c:v>9.3389013047003006E-2</c:v>
                </c:pt>
                <c:pt idx="54">
                  <c:v>9.7059602999918948E-2</c:v>
                </c:pt>
                <c:pt idx="55">
                  <c:v>0.10083599515245262</c:v>
                </c:pt>
                <c:pt idx="56">
                  <c:v>0.10472780258559433</c:v>
                </c:pt>
                <c:pt idx="57">
                  <c:v>0.10874463838033438</c:v>
                </c:pt>
                <c:pt idx="58">
                  <c:v>0.11289611561766261</c:v>
                </c:pt>
                <c:pt idx="59">
                  <c:v>0.11719184737856941</c:v>
                </c:pt>
                <c:pt idx="60">
                  <c:v>0.12164144674404498</c:v>
                </c:pt>
                <c:pt idx="61">
                  <c:v>0.12625452679507915</c:v>
                </c:pt>
                <c:pt idx="62">
                  <c:v>0.13104070061266238</c:v>
                </c:pt>
                <c:pt idx="63">
                  <c:v>0.13600958127778451</c:v>
                </c:pt>
                <c:pt idx="64">
                  <c:v>0.14117078187143606</c:v>
                </c:pt>
                <c:pt idx="65">
                  <c:v>0.1465339154746067</c:v>
                </c:pt>
                <c:pt idx="66">
                  <c:v>0.15210859516828718</c:v>
                </c:pt>
                <c:pt idx="67">
                  <c:v>0.15790443403346716</c:v>
                </c:pt>
                <c:pt idx="68">
                  <c:v>0.16393104515113688</c:v>
                </c:pt>
                <c:pt idx="69">
                  <c:v>0.17019804160228702</c:v>
                </c:pt>
                <c:pt idx="70">
                  <c:v>0.17671503646790687</c:v>
                </c:pt>
                <c:pt idx="71">
                  <c:v>0.18349164282898722</c:v>
                </c:pt>
                <c:pt idx="72">
                  <c:v>0.19053747376651764</c:v>
                </c:pt>
                <c:pt idx="73">
                  <c:v>0.19786214236148936</c:v>
                </c:pt>
                <c:pt idx="74">
                  <c:v>0.20547526169489105</c:v>
                </c:pt>
                <c:pt idx="75">
                  <c:v>0.21338644484771407</c:v>
                </c:pt>
                <c:pt idx="76">
                  <c:v>0.22160530490094776</c:v>
                </c:pt>
                <c:pt idx="77">
                  <c:v>0.23014145493558325</c:v>
                </c:pt>
                <c:pt idx="78">
                  <c:v>0.23900450803260909</c:v>
                </c:pt>
                <c:pt idx="79">
                  <c:v>0.24820407727301719</c:v>
                </c:pt>
                <c:pt idx="80">
                  <c:v>0.25774977573779656</c:v>
                </c:pt>
                <c:pt idx="81">
                  <c:v>0.26765121650793788</c:v>
                </c:pt>
                <c:pt idx="82">
                  <c:v>0.27791801266443095</c:v>
                </c:pt>
                <c:pt idx="83">
                  <c:v>0.28855977728826609</c:v>
                </c:pt>
                <c:pt idx="84">
                  <c:v>0.29958612346043367</c:v>
                </c:pt>
                <c:pt idx="85">
                  <c:v>0.31100666426192336</c:v>
                </c:pt>
                <c:pt idx="86">
                  <c:v>0.32283101277372528</c:v>
                </c:pt>
                <c:pt idx="87">
                  <c:v>0.33506878207683011</c:v>
                </c:pt>
                <c:pt idx="88">
                  <c:v>0.34772958525222797</c:v>
                </c:pt>
                <c:pt idx="89">
                  <c:v>0.36082303538090876</c:v>
                </c:pt>
                <c:pt idx="90">
                  <c:v>0.37435874554386261</c:v>
                </c:pt>
                <c:pt idx="91">
                  <c:v>0.38834632882207964</c:v>
                </c:pt>
                <c:pt idx="92">
                  <c:v>0.40279539829654998</c:v>
                </c:pt>
                <c:pt idx="93">
                  <c:v>0.41771556704826396</c:v>
                </c:pt>
                <c:pt idx="94">
                  <c:v>0.43311644815821171</c:v>
                </c:pt>
                <c:pt idx="95">
                  <c:v>0.44900765470738313</c:v>
                </c:pt>
                <c:pt idx="96">
                  <c:v>0.46539879977676857</c:v>
                </c:pt>
                <c:pt idx="97">
                  <c:v>0.48229949644735837</c:v>
                </c:pt>
                <c:pt idx="98">
                  <c:v>0.49971935780014265</c:v>
                </c:pt>
                <c:pt idx="99">
                  <c:v>0.51766799691611087</c:v>
                </c:pt>
                <c:pt idx="100">
                  <c:v>0.53615502687625383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1D-428F-BD20-3D882FFDA4BA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plus>
            <c:min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Corrección!$C$117:$C$127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100</c:v>
                </c:pt>
                <c:pt idx="5">
                  <c:v>1000</c:v>
                </c:pt>
                <c:pt idx="6">
                  <c:v>2000</c:v>
                </c:pt>
                <c:pt idx="7">
                  <c:v>3000</c:v>
                </c:pt>
                <c:pt idx="8">
                  <c:v>4000</c:v>
                </c:pt>
                <c:pt idx="9">
                  <c:v>5000</c:v>
                </c:pt>
                <c:pt idx="10">
                  <c:v>6000</c:v>
                </c:pt>
              </c:numCache>
            </c:numRef>
          </c:xVal>
          <c:yVal>
            <c:numRef>
              <c:f>Corrección!$D$117:$D$127</c:f>
              <c:numCache>
                <c:formatCode>General</c:formatCode>
                <c:ptCount val="11"/>
                <c:pt idx="0">
                  <c:v>-0.1</c:v>
                </c:pt>
                <c:pt idx="1">
                  <c:v>-0.33</c:v>
                </c:pt>
                <c:pt idx="2">
                  <c:v>-0.15</c:v>
                </c:pt>
                <c:pt idx="3">
                  <c:v>-0.2</c:v>
                </c:pt>
                <c:pt idx="4">
                  <c:v>-0.12</c:v>
                </c:pt>
                <c:pt idx="5">
                  <c:v>-0.27</c:v>
                </c:pt>
                <c:pt idx="6">
                  <c:v>0.13</c:v>
                </c:pt>
                <c:pt idx="7">
                  <c:v>0.25</c:v>
                </c:pt>
                <c:pt idx="8">
                  <c:v>0</c:v>
                </c:pt>
                <c:pt idx="9">
                  <c:v>0.28999999999999998</c:v>
                </c:pt>
                <c:pt idx="10">
                  <c:v>0.56000000000000005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1D-428F-BD20-3D882FFDA4BA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Corrección!$F$151:$F$160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Corrección!$F$151:$F$160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Corrección!$C$151:$C$160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Corrección!$D$151:$D$160</c:f>
              <c:numCache>
                <c:formatCode>0.0000</c:formatCode>
                <c:ptCount val="10"/>
                <c:pt idx="0">
                  <c:v>-0.20194848658088754</c:v>
                </c:pt>
                <c:pt idx="1">
                  <c:v>-0.20194848658088754</c:v>
                </c:pt>
                <c:pt idx="2">
                  <c:v>-0.20194848658088754</c:v>
                </c:pt>
                <c:pt idx="3">
                  <c:v>-0.20194848658088754</c:v>
                </c:pt>
                <c:pt idx="4">
                  <c:v>-0.20194848658088754</c:v>
                </c:pt>
                <c:pt idx="5">
                  <c:v>-0.20194848658088754</c:v>
                </c:pt>
                <c:pt idx="6">
                  <c:v>-0.20194848658088754</c:v>
                </c:pt>
                <c:pt idx="7">
                  <c:v>-0.20194848658088754</c:v>
                </c:pt>
                <c:pt idx="8">
                  <c:v>-0.20194848658088754</c:v>
                </c:pt>
                <c:pt idx="9">
                  <c:v>-0.20194848658088754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71D-428F-BD20-3D882FFDA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Corrección!$E$626:$E$726</c:f>
              <c:numCache>
                <c:formatCode>0.0000</c:formatCode>
                <c:ptCount val="101"/>
                <c:pt idx="0">
                  <c:v>0</c:v>
                </c:pt>
                <c:pt idx="1">
                  <c:v>60</c:v>
                </c:pt>
                <c:pt idx="2">
                  <c:v>120</c:v>
                </c:pt>
                <c:pt idx="3">
                  <c:v>180</c:v>
                </c:pt>
                <c:pt idx="4">
                  <c:v>240</c:v>
                </c:pt>
                <c:pt idx="5">
                  <c:v>300</c:v>
                </c:pt>
                <c:pt idx="6">
                  <c:v>360</c:v>
                </c:pt>
                <c:pt idx="7">
                  <c:v>420</c:v>
                </c:pt>
                <c:pt idx="8">
                  <c:v>480</c:v>
                </c:pt>
                <c:pt idx="9">
                  <c:v>540</c:v>
                </c:pt>
                <c:pt idx="10">
                  <c:v>600</c:v>
                </c:pt>
                <c:pt idx="11">
                  <c:v>660</c:v>
                </c:pt>
                <c:pt idx="12">
                  <c:v>720</c:v>
                </c:pt>
                <c:pt idx="13">
                  <c:v>780</c:v>
                </c:pt>
                <c:pt idx="14">
                  <c:v>840</c:v>
                </c:pt>
                <c:pt idx="15">
                  <c:v>900</c:v>
                </c:pt>
                <c:pt idx="16">
                  <c:v>960</c:v>
                </c:pt>
                <c:pt idx="17">
                  <c:v>1020</c:v>
                </c:pt>
                <c:pt idx="18">
                  <c:v>1080</c:v>
                </c:pt>
                <c:pt idx="19">
                  <c:v>1140</c:v>
                </c:pt>
                <c:pt idx="20">
                  <c:v>1200</c:v>
                </c:pt>
                <c:pt idx="21">
                  <c:v>1260</c:v>
                </c:pt>
                <c:pt idx="22">
                  <c:v>1320</c:v>
                </c:pt>
                <c:pt idx="23">
                  <c:v>1380</c:v>
                </c:pt>
                <c:pt idx="24">
                  <c:v>1440</c:v>
                </c:pt>
                <c:pt idx="25">
                  <c:v>1500</c:v>
                </c:pt>
                <c:pt idx="26">
                  <c:v>1560</c:v>
                </c:pt>
                <c:pt idx="27">
                  <c:v>1620</c:v>
                </c:pt>
                <c:pt idx="28">
                  <c:v>1680</c:v>
                </c:pt>
                <c:pt idx="29">
                  <c:v>1740</c:v>
                </c:pt>
                <c:pt idx="30">
                  <c:v>1800</c:v>
                </c:pt>
                <c:pt idx="31">
                  <c:v>1860</c:v>
                </c:pt>
                <c:pt idx="32">
                  <c:v>1920</c:v>
                </c:pt>
                <c:pt idx="33">
                  <c:v>1980</c:v>
                </c:pt>
                <c:pt idx="34">
                  <c:v>2040</c:v>
                </c:pt>
                <c:pt idx="35">
                  <c:v>2100</c:v>
                </c:pt>
                <c:pt idx="36">
                  <c:v>2160</c:v>
                </c:pt>
                <c:pt idx="37">
                  <c:v>2220</c:v>
                </c:pt>
                <c:pt idx="38">
                  <c:v>2280</c:v>
                </c:pt>
                <c:pt idx="39">
                  <c:v>2340</c:v>
                </c:pt>
                <c:pt idx="40">
                  <c:v>2400</c:v>
                </c:pt>
                <c:pt idx="41">
                  <c:v>2460</c:v>
                </c:pt>
                <c:pt idx="42">
                  <c:v>2520</c:v>
                </c:pt>
                <c:pt idx="43">
                  <c:v>2580</c:v>
                </c:pt>
                <c:pt idx="44">
                  <c:v>2640</c:v>
                </c:pt>
                <c:pt idx="45">
                  <c:v>2700</c:v>
                </c:pt>
                <c:pt idx="46">
                  <c:v>2760</c:v>
                </c:pt>
                <c:pt idx="47">
                  <c:v>2820</c:v>
                </c:pt>
                <c:pt idx="48">
                  <c:v>2880</c:v>
                </c:pt>
                <c:pt idx="49">
                  <c:v>2940</c:v>
                </c:pt>
                <c:pt idx="50">
                  <c:v>3000</c:v>
                </c:pt>
                <c:pt idx="51">
                  <c:v>3060</c:v>
                </c:pt>
                <c:pt idx="52">
                  <c:v>3120</c:v>
                </c:pt>
                <c:pt idx="53">
                  <c:v>3180</c:v>
                </c:pt>
                <c:pt idx="54">
                  <c:v>3240</c:v>
                </c:pt>
                <c:pt idx="55">
                  <c:v>3300</c:v>
                </c:pt>
                <c:pt idx="56">
                  <c:v>3360</c:v>
                </c:pt>
                <c:pt idx="57">
                  <c:v>3420</c:v>
                </c:pt>
                <c:pt idx="58">
                  <c:v>3480</c:v>
                </c:pt>
                <c:pt idx="59">
                  <c:v>3540</c:v>
                </c:pt>
                <c:pt idx="60">
                  <c:v>3600</c:v>
                </c:pt>
                <c:pt idx="61">
                  <c:v>3660</c:v>
                </c:pt>
                <c:pt idx="62">
                  <c:v>3720</c:v>
                </c:pt>
                <c:pt idx="63">
                  <c:v>3780</c:v>
                </c:pt>
                <c:pt idx="64">
                  <c:v>3840</c:v>
                </c:pt>
                <c:pt idx="65">
                  <c:v>3900</c:v>
                </c:pt>
                <c:pt idx="66">
                  <c:v>3960</c:v>
                </c:pt>
                <c:pt idx="67">
                  <c:v>4020</c:v>
                </c:pt>
                <c:pt idx="68">
                  <c:v>4080</c:v>
                </c:pt>
                <c:pt idx="69">
                  <c:v>4140</c:v>
                </c:pt>
                <c:pt idx="70">
                  <c:v>4200</c:v>
                </c:pt>
                <c:pt idx="71">
                  <c:v>4260</c:v>
                </c:pt>
                <c:pt idx="72">
                  <c:v>4320</c:v>
                </c:pt>
                <c:pt idx="73">
                  <c:v>4380</c:v>
                </c:pt>
                <c:pt idx="74">
                  <c:v>4440</c:v>
                </c:pt>
                <c:pt idx="75">
                  <c:v>4500</c:v>
                </c:pt>
                <c:pt idx="76">
                  <c:v>4560</c:v>
                </c:pt>
                <c:pt idx="77">
                  <c:v>4620</c:v>
                </c:pt>
                <c:pt idx="78">
                  <c:v>4680</c:v>
                </c:pt>
                <c:pt idx="79">
                  <c:v>4740</c:v>
                </c:pt>
                <c:pt idx="80">
                  <c:v>4800</c:v>
                </c:pt>
                <c:pt idx="81">
                  <c:v>4860</c:v>
                </c:pt>
                <c:pt idx="82">
                  <c:v>4920</c:v>
                </c:pt>
                <c:pt idx="83">
                  <c:v>4980</c:v>
                </c:pt>
                <c:pt idx="84">
                  <c:v>5040</c:v>
                </c:pt>
                <c:pt idx="85">
                  <c:v>5100</c:v>
                </c:pt>
                <c:pt idx="86">
                  <c:v>5160</c:v>
                </c:pt>
                <c:pt idx="87">
                  <c:v>5220</c:v>
                </c:pt>
                <c:pt idx="88">
                  <c:v>5280</c:v>
                </c:pt>
                <c:pt idx="89">
                  <c:v>5340</c:v>
                </c:pt>
                <c:pt idx="90">
                  <c:v>5400</c:v>
                </c:pt>
                <c:pt idx="91">
                  <c:v>5460</c:v>
                </c:pt>
                <c:pt idx="92">
                  <c:v>5520</c:v>
                </c:pt>
                <c:pt idx="93">
                  <c:v>5580</c:v>
                </c:pt>
                <c:pt idx="94">
                  <c:v>5640</c:v>
                </c:pt>
                <c:pt idx="95">
                  <c:v>5700</c:v>
                </c:pt>
                <c:pt idx="96">
                  <c:v>5760</c:v>
                </c:pt>
                <c:pt idx="97">
                  <c:v>5820</c:v>
                </c:pt>
                <c:pt idx="98">
                  <c:v>5880</c:v>
                </c:pt>
                <c:pt idx="99">
                  <c:v>5940</c:v>
                </c:pt>
                <c:pt idx="100">
                  <c:v>6000</c:v>
                </c:pt>
              </c:numCache>
            </c:numRef>
          </c:xVal>
          <c:yVal>
            <c:numRef>
              <c:f>Corrección!$F$626:$F$726</c:f>
              <c:numCache>
                <c:formatCode>0.0000</c:formatCode>
                <c:ptCount val="101"/>
                <c:pt idx="0">
                  <c:v>-0.20194848658088754</c:v>
                </c:pt>
                <c:pt idx="1">
                  <c:v>-0.19012909431081698</c:v>
                </c:pt>
                <c:pt idx="2">
                  <c:v>-0.1787133931336064</c:v>
                </c:pt>
                <c:pt idx="3">
                  <c:v>-0.16769176996826568</c:v>
                </c:pt>
                <c:pt idx="4">
                  <c:v>-0.15705461173380464</c:v>
                </c:pt>
                <c:pt idx="5">
                  <c:v>-0.14679230534923318</c:v>
                </c:pt>
                <c:pt idx="6">
                  <c:v>-0.1368952377335611</c:v>
                </c:pt>
                <c:pt idx="7">
                  <c:v>-0.12735379580579828</c:v>
                </c:pt>
                <c:pt idx="8">
                  <c:v>-0.11815836648495458</c:v>
                </c:pt>
                <c:pt idx="9">
                  <c:v>-0.10929933669003984</c:v>
                </c:pt>
                <c:pt idx="10">
                  <c:v>-0.10076709334006388</c:v>
                </c:pt>
                <c:pt idx="11">
                  <c:v>-9.2552023354036603E-2</c:v>
                </c:pt>
                <c:pt idx="12">
                  <c:v>-8.4644513650967812E-2</c:v>
                </c:pt>
                <c:pt idx="13">
                  <c:v>-7.7034951149867387E-2</c:v>
                </c:pt>
                <c:pt idx="14">
                  <c:v>-6.9713722769745204E-2</c:v>
                </c:pt>
                <c:pt idx="15">
                  <c:v>-6.2671215429611044E-2</c:v>
                </c:pt>
                <c:pt idx="16">
                  <c:v>-5.5897816048474797E-2</c:v>
                </c:pt>
                <c:pt idx="17">
                  <c:v>-4.9383911545346354E-2</c:v>
                </c:pt>
                <c:pt idx="18">
                  <c:v>-4.3119888839235503E-2</c:v>
                </c:pt>
                <c:pt idx="19">
                  <c:v>-3.7096134849152106E-2</c:v>
                </c:pt>
                <c:pt idx="20">
                  <c:v>-3.1303036494106054E-2</c:v>
                </c:pt>
                <c:pt idx="21">
                  <c:v>-2.5730980693107114E-2</c:v>
                </c:pt>
                <c:pt idx="22">
                  <c:v>-2.0370354365165291E-2</c:v>
                </c:pt>
                <c:pt idx="23">
                  <c:v>-1.521154442929027E-2</c:v>
                </c:pt>
                <c:pt idx="24">
                  <c:v>-1.0244937804491986E-2</c:v>
                </c:pt>
                <c:pt idx="25">
                  <c:v>-5.4609214097802797E-3</c:v>
                </c:pt>
                <c:pt idx="26">
                  <c:v>-8.4988216416497994E-4</c:v>
                </c:pt>
                <c:pt idx="27">
                  <c:v>3.5977930133440361E-3</c:v>
                </c:pt>
                <c:pt idx="28">
                  <c:v>7.8917172037368602E-3</c:v>
                </c:pt>
                <c:pt idx="29">
                  <c:v>1.2041503488003771E-2</c:v>
                </c:pt>
                <c:pt idx="30">
                  <c:v>1.6056764947134872E-2</c:v>
                </c:pt>
                <c:pt idx="31">
                  <c:v>1.9947114662120277E-2</c:v>
                </c:pt>
                <c:pt idx="32">
                  <c:v>2.3722165713950139E-2</c:v>
                </c:pt>
                <c:pt idx="33">
                  <c:v>2.7391531183614599E-2</c:v>
                </c:pt>
                <c:pt idx="34">
                  <c:v>3.096482415210379E-2</c:v>
                </c:pt>
                <c:pt idx="35">
                  <c:v>3.4451657700407978E-2</c:v>
                </c:pt>
                <c:pt idx="36">
                  <c:v>3.786164490951717E-2</c:v>
                </c:pt>
                <c:pt idx="37">
                  <c:v>4.120439886042164E-2</c:v>
                </c:pt>
                <c:pt idx="38">
                  <c:v>4.4489532634111442E-2</c:v>
                </c:pt>
                <c:pt idx="39">
                  <c:v>4.7726659311576741E-2</c:v>
                </c:pt>
                <c:pt idx="40">
                  <c:v>5.0925391973807702E-2</c:v>
                </c:pt>
                <c:pt idx="41">
                  <c:v>5.4095343701794502E-2</c:v>
                </c:pt>
                <c:pt idx="42">
                  <c:v>5.724612757652732E-2</c:v>
                </c:pt>
                <c:pt idx="43">
                  <c:v>6.0387356678996029E-2</c:v>
                </c:pt>
                <c:pt idx="44">
                  <c:v>6.3528644090191128E-2</c:v>
                </c:pt>
                <c:pt idx="45">
                  <c:v>6.6679602891102668E-2</c:v>
                </c:pt>
                <c:pt idx="46">
                  <c:v>6.9849846162720719E-2</c:v>
                </c:pt>
                <c:pt idx="47">
                  <c:v>7.3048986986035486E-2</c:v>
                </c:pt>
                <c:pt idx="48">
                  <c:v>7.6286638442037064E-2</c:v>
                </c:pt>
                <c:pt idx="49">
                  <c:v>7.9572413611715742E-2</c:v>
                </c:pt>
                <c:pt idx="50">
                  <c:v>8.2915925576061422E-2</c:v>
                </c:pt>
                <c:pt idx="51">
                  <c:v>8.6326787416064504E-2</c:v>
                </c:pt>
                <c:pt idx="52">
                  <c:v>8.9814612212715E-2</c:v>
                </c:pt>
                <c:pt idx="53">
                  <c:v>9.3389013047003006E-2</c:v>
                </c:pt>
                <c:pt idx="54">
                  <c:v>9.7059602999918948E-2</c:v>
                </c:pt>
                <c:pt idx="55">
                  <c:v>0.10083599515245262</c:v>
                </c:pt>
                <c:pt idx="56">
                  <c:v>0.10472780258559433</c:v>
                </c:pt>
                <c:pt idx="57">
                  <c:v>0.10874463838033438</c:v>
                </c:pt>
                <c:pt idx="58">
                  <c:v>0.11289611561766261</c:v>
                </c:pt>
                <c:pt idx="59">
                  <c:v>0.11719184737856941</c:v>
                </c:pt>
                <c:pt idx="60">
                  <c:v>0.12164144674404498</c:v>
                </c:pt>
                <c:pt idx="61">
                  <c:v>0.12625452679507915</c:v>
                </c:pt>
                <c:pt idx="62">
                  <c:v>0.13104070061266238</c:v>
                </c:pt>
                <c:pt idx="63">
                  <c:v>0.13600958127778451</c:v>
                </c:pt>
                <c:pt idx="64">
                  <c:v>0.14117078187143606</c:v>
                </c:pt>
                <c:pt idx="65">
                  <c:v>0.1465339154746067</c:v>
                </c:pt>
                <c:pt idx="66">
                  <c:v>0.15210859516828718</c:v>
                </c:pt>
                <c:pt idx="67">
                  <c:v>0.15790443403346716</c:v>
                </c:pt>
                <c:pt idx="68">
                  <c:v>0.16393104515113688</c:v>
                </c:pt>
                <c:pt idx="69">
                  <c:v>0.17019804160228702</c:v>
                </c:pt>
                <c:pt idx="70">
                  <c:v>0.17671503646790687</c:v>
                </c:pt>
                <c:pt idx="71">
                  <c:v>0.18349164282898722</c:v>
                </c:pt>
                <c:pt idx="72">
                  <c:v>0.19053747376651764</c:v>
                </c:pt>
                <c:pt idx="73">
                  <c:v>0.19786214236148936</c:v>
                </c:pt>
                <c:pt idx="74">
                  <c:v>0.20547526169489105</c:v>
                </c:pt>
                <c:pt idx="75">
                  <c:v>0.21338644484771407</c:v>
                </c:pt>
                <c:pt idx="76">
                  <c:v>0.22160530490094776</c:v>
                </c:pt>
                <c:pt idx="77">
                  <c:v>0.23014145493558325</c:v>
                </c:pt>
                <c:pt idx="78">
                  <c:v>0.23900450803260909</c:v>
                </c:pt>
                <c:pt idx="79">
                  <c:v>0.24820407727301719</c:v>
                </c:pt>
                <c:pt idx="80">
                  <c:v>0.25774977573779656</c:v>
                </c:pt>
                <c:pt idx="81">
                  <c:v>0.26765121650793788</c:v>
                </c:pt>
                <c:pt idx="82">
                  <c:v>0.27791801266443095</c:v>
                </c:pt>
                <c:pt idx="83">
                  <c:v>0.28855977728826609</c:v>
                </c:pt>
                <c:pt idx="84">
                  <c:v>0.29958612346043367</c:v>
                </c:pt>
                <c:pt idx="85">
                  <c:v>0.31100666426192336</c:v>
                </c:pt>
                <c:pt idx="86">
                  <c:v>0.32283101277372528</c:v>
                </c:pt>
                <c:pt idx="87">
                  <c:v>0.33506878207683011</c:v>
                </c:pt>
                <c:pt idx="88">
                  <c:v>0.34772958525222797</c:v>
                </c:pt>
                <c:pt idx="89">
                  <c:v>0.36082303538090876</c:v>
                </c:pt>
                <c:pt idx="90">
                  <c:v>0.37435874554386261</c:v>
                </c:pt>
                <c:pt idx="91">
                  <c:v>0.38834632882207964</c:v>
                </c:pt>
                <c:pt idx="92">
                  <c:v>0.40279539829654998</c:v>
                </c:pt>
                <c:pt idx="93">
                  <c:v>0.41771556704826396</c:v>
                </c:pt>
                <c:pt idx="94">
                  <c:v>0.43311644815821171</c:v>
                </c:pt>
                <c:pt idx="95">
                  <c:v>0.44900765470738313</c:v>
                </c:pt>
                <c:pt idx="96">
                  <c:v>0.46539879977676857</c:v>
                </c:pt>
                <c:pt idx="97">
                  <c:v>0.48229949644735837</c:v>
                </c:pt>
                <c:pt idx="98">
                  <c:v>0.49971935780014265</c:v>
                </c:pt>
                <c:pt idx="99">
                  <c:v>0.51766799691611087</c:v>
                </c:pt>
                <c:pt idx="100">
                  <c:v>0.53615502687625383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FE-467C-8F4D-FCE29A0195BA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plus>
            <c:min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Corrección!$C$117:$C$127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100</c:v>
                </c:pt>
                <c:pt idx="5">
                  <c:v>1000</c:v>
                </c:pt>
                <c:pt idx="6">
                  <c:v>2000</c:v>
                </c:pt>
                <c:pt idx="7">
                  <c:v>3000</c:v>
                </c:pt>
                <c:pt idx="8">
                  <c:v>4000</c:v>
                </c:pt>
                <c:pt idx="9">
                  <c:v>5000</c:v>
                </c:pt>
                <c:pt idx="10">
                  <c:v>6000</c:v>
                </c:pt>
              </c:numCache>
            </c:numRef>
          </c:xVal>
          <c:yVal>
            <c:numRef>
              <c:f>Corrección!$D$117:$D$127</c:f>
              <c:numCache>
                <c:formatCode>General</c:formatCode>
                <c:ptCount val="11"/>
                <c:pt idx="0">
                  <c:v>-0.1</c:v>
                </c:pt>
                <c:pt idx="1">
                  <c:v>-0.33</c:v>
                </c:pt>
                <c:pt idx="2">
                  <c:v>-0.15</c:v>
                </c:pt>
                <c:pt idx="3">
                  <c:v>-0.2</c:v>
                </c:pt>
                <c:pt idx="4">
                  <c:v>-0.12</c:v>
                </c:pt>
                <c:pt idx="5">
                  <c:v>-0.27</c:v>
                </c:pt>
                <c:pt idx="6">
                  <c:v>0.13</c:v>
                </c:pt>
                <c:pt idx="7">
                  <c:v>0.25</c:v>
                </c:pt>
                <c:pt idx="8">
                  <c:v>0</c:v>
                </c:pt>
                <c:pt idx="9">
                  <c:v>0.28999999999999998</c:v>
                </c:pt>
                <c:pt idx="10">
                  <c:v>0.56000000000000005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FE-467C-8F4D-FCE29A0195BA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Corrección!$F$161:$F$170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Corrección!$F$161:$F$170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Corrección!$C$161:$C$170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Corrección!$D$161:$D$170</c:f>
              <c:numCache>
                <c:formatCode>0.0000</c:formatCode>
                <c:ptCount val="10"/>
                <c:pt idx="0">
                  <c:v>-0.20194848658088754</c:v>
                </c:pt>
                <c:pt idx="1">
                  <c:v>-0.20194848658088754</c:v>
                </c:pt>
                <c:pt idx="2">
                  <c:v>-0.20194848658088754</c:v>
                </c:pt>
                <c:pt idx="3">
                  <c:v>-0.20194848658088754</c:v>
                </c:pt>
                <c:pt idx="4">
                  <c:v>-0.20194848658088754</c:v>
                </c:pt>
                <c:pt idx="5">
                  <c:v>-0.20194848658088754</c:v>
                </c:pt>
                <c:pt idx="6">
                  <c:v>-0.20194848658088754</c:v>
                </c:pt>
                <c:pt idx="7">
                  <c:v>-0.20194848658088754</c:v>
                </c:pt>
                <c:pt idx="8">
                  <c:v>-0.20194848658088754</c:v>
                </c:pt>
                <c:pt idx="9">
                  <c:v>-0.20194848658088754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FE-467C-8F4D-FCE29A019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[°C]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2.8248587570621469E-2"/>
              <c:y val="0.183020559930008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Corrección!$E$626:$E$726</c:f>
              <c:numCache>
                <c:formatCode>0.0000</c:formatCode>
                <c:ptCount val="101"/>
                <c:pt idx="0">
                  <c:v>0</c:v>
                </c:pt>
                <c:pt idx="1">
                  <c:v>60</c:v>
                </c:pt>
                <c:pt idx="2">
                  <c:v>120</c:v>
                </c:pt>
                <c:pt idx="3">
                  <c:v>180</c:v>
                </c:pt>
                <c:pt idx="4">
                  <c:v>240</c:v>
                </c:pt>
                <c:pt idx="5">
                  <c:v>300</c:v>
                </c:pt>
                <c:pt idx="6">
                  <c:v>360</c:v>
                </c:pt>
                <c:pt idx="7">
                  <c:v>420</c:v>
                </c:pt>
                <c:pt idx="8">
                  <c:v>480</c:v>
                </c:pt>
                <c:pt idx="9">
                  <c:v>540</c:v>
                </c:pt>
                <c:pt idx="10">
                  <c:v>600</c:v>
                </c:pt>
                <c:pt idx="11">
                  <c:v>660</c:v>
                </c:pt>
                <c:pt idx="12">
                  <c:v>720</c:v>
                </c:pt>
                <c:pt idx="13">
                  <c:v>780</c:v>
                </c:pt>
                <c:pt idx="14">
                  <c:v>840</c:v>
                </c:pt>
                <c:pt idx="15">
                  <c:v>900</c:v>
                </c:pt>
                <c:pt idx="16">
                  <c:v>960</c:v>
                </c:pt>
                <c:pt idx="17">
                  <c:v>1020</c:v>
                </c:pt>
                <c:pt idx="18">
                  <c:v>1080</c:v>
                </c:pt>
                <c:pt idx="19">
                  <c:v>1140</c:v>
                </c:pt>
                <c:pt idx="20">
                  <c:v>1200</c:v>
                </c:pt>
                <c:pt idx="21">
                  <c:v>1260</c:v>
                </c:pt>
                <c:pt idx="22">
                  <c:v>1320</c:v>
                </c:pt>
                <c:pt idx="23">
                  <c:v>1380</c:v>
                </c:pt>
                <c:pt idx="24">
                  <c:v>1440</c:v>
                </c:pt>
                <c:pt idx="25">
                  <c:v>1500</c:v>
                </c:pt>
                <c:pt idx="26">
                  <c:v>1560</c:v>
                </c:pt>
                <c:pt idx="27">
                  <c:v>1620</c:v>
                </c:pt>
                <c:pt idx="28">
                  <c:v>1680</c:v>
                </c:pt>
                <c:pt idx="29">
                  <c:v>1740</c:v>
                </c:pt>
                <c:pt idx="30">
                  <c:v>1800</c:v>
                </c:pt>
                <c:pt idx="31">
                  <c:v>1860</c:v>
                </c:pt>
                <c:pt idx="32">
                  <c:v>1920</c:v>
                </c:pt>
                <c:pt idx="33">
                  <c:v>1980</c:v>
                </c:pt>
                <c:pt idx="34">
                  <c:v>2040</c:v>
                </c:pt>
                <c:pt idx="35">
                  <c:v>2100</c:v>
                </c:pt>
                <c:pt idx="36">
                  <c:v>2160</c:v>
                </c:pt>
                <c:pt idx="37">
                  <c:v>2220</c:v>
                </c:pt>
                <c:pt idx="38">
                  <c:v>2280</c:v>
                </c:pt>
                <c:pt idx="39">
                  <c:v>2340</c:v>
                </c:pt>
                <c:pt idx="40">
                  <c:v>2400</c:v>
                </c:pt>
                <c:pt idx="41">
                  <c:v>2460</c:v>
                </c:pt>
                <c:pt idx="42">
                  <c:v>2520</c:v>
                </c:pt>
                <c:pt idx="43">
                  <c:v>2580</c:v>
                </c:pt>
                <c:pt idx="44">
                  <c:v>2640</c:v>
                </c:pt>
                <c:pt idx="45">
                  <c:v>2700</c:v>
                </c:pt>
                <c:pt idx="46">
                  <c:v>2760</c:v>
                </c:pt>
                <c:pt idx="47">
                  <c:v>2820</c:v>
                </c:pt>
                <c:pt idx="48">
                  <c:v>2880</c:v>
                </c:pt>
                <c:pt idx="49">
                  <c:v>2940</c:v>
                </c:pt>
                <c:pt idx="50">
                  <c:v>3000</c:v>
                </c:pt>
                <c:pt idx="51">
                  <c:v>3060</c:v>
                </c:pt>
                <c:pt idx="52">
                  <c:v>3120</c:v>
                </c:pt>
                <c:pt idx="53">
                  <c:v>3180</c:v>
                </c:pt>
                <c:pt idx="54">
                  <c:v>3240</c:v>
                </c:pt>
                <c:pt idx="55">
                  <c:v>3300</c:v>
                </c:pt>
                <c:pt idx="56">
                  <c:v>3360</c:v>
                </c:pt>
                <c:pt idx="57">
                  <c:v>3420</c:v>
                </c:pt>
                <c:pt idx="58">
                  <c:v>3480</c:v>
                </c:pt>
                <c:pt idx="59">
                  <c:v>3540</c:v>
                </c:pt>
                <c:pt idx="60">
                  <c:v>3600</c:v>
                </c:pt>
                <c:pt idx="61">
                  <c:v>3660</c:v>
                </c:pt>
                <c:pt idx="62">
                  <c:v>3720</c:v>
                </c:pt>
                <c:pt idx="63">
                  <c:v>3780</c:v>
                </c:pt>
                <c:pt idx="64">
                  <c:v>3840</c:v>
                </c:pt>
                <c:pt idx="65">
                  <c:v>3900</c:v>
                </c:pt>
                <c:pt idx="66">
                  <c:v>3960</c:v>
                </c:pt>
                <c:pt idx="67">
                  <c:v>4020</c:v>
                </c:pt>
                <c:pt idx="68">
                  <c:v>4080</c:v>
                </c:pt>
                <c:pt idx="69">
                  <c:v>4140</c:v>
                </c:pt>
                <c:pt idx="70">
                  <c:v>4200</c:v>
                </c:pt>
                <c:pt idx="71">
                  <c:v>4260</c:v>
                </c:pt>
                <c:pt idx="72">
                  <c:v>4320</c:v>
                </c:pt>
                <c:pt idx="73">
                  <c:v>4380</c:v>
                </c:pt>
                <c:pt idx="74">
                  <c:v>4440</c:v>
                </c:pt>
                <c:pt idx="75">
                  <c:v>4500</c:v>
                </c:pt>
                <c:pt idx="76">
                  <c:v>4560</c:v>
                </c:pt>
                <c:pt idx="77">
                  <c:v>4620</c:v>
                </c:pt>
                <c:pt idx="78">
                  <c:v>4680</c:v>
                </c:pt>
                <c:pt idx="79">
                  <c:v>4740</c:v>
                </c:pt>
                <c:pt idx="80">
                  <c:v>4800</c:v>
                </c:pt>
                <c:pt idx="81">
                  <c:v>4860</c:v>
                </c:pt>
                <c:pt idx="82">
                  <c:v>4920</c:v>
                </c:pt>
                <c:pt idx="83">
                  <c:v>4980</c:v>
                </c:pt>
                <c:pt idx="84">
                  <c:v>5040</c:v>
                </c:pt>
                <c:pt idx="85">
                  <c:v>5100</c:v>
                </c:pt>
                <c:pt idx="86">
                  <c:v>5160</c:v>
                </c:pt>
                <c:pt idx="87">
                  <c:v>5220</c:v>
                </c:pt>
                <c:pt idx="88">
                  <c:v>5280</c:v>
                </c:pt>
                <c:pt idx="89">
                  <c:v>5340</c:v>
                </c:pt>
                <c:pt idx="90">
                  <c:v>5400</c:v>
                </c:pt>
                <c:pt idx="91">
                  <c:v>5460</c:v>
                </c:pt>
                <c:pt idx="92">
                  <c:v>5520</c:v>
                </c:pt>
                <c:pt idx="93">
                  <c:v>5580</c:v>
                </c:pt>
                <c:pt idx="94">
                  <c:v>5640</c:v>
                </c:pt>
                <c:pt idx="95">
                  <c:v>5700</c:v>
                </c:pt>
                <c:pt idx="96">
                  <c:v>5760</c:v>
                </c:pt>
                <c:pt idx="97">
                  <c:v>5820</c:v>
                </c:pt>
                <c:pt idx="98">
                  <c:v>5880</c:v>
                </c:pt>
                <c:pt idx="99">
                  <c:v>5940</c:v>
                </c:pt>
                <c:pt idx="100">
                  <c:v>6000</c:v>
                </c:pt>
              </c:numCache>
            </c:numRef>
          </c:xVal>
          <c:yVal>
            <c:numRef>
              <c:f>Corrección!$F$626:$F$726</c:f>
              <c:numCache>
                <c:formatCode>0.0000</c:formatCode>
                <c:ptCount val="101"/>
                <c:pt idx="0">
                  <c:v>-0.20194848658088754</c:v>
                </c:pt>
                <c:pt idx="1">
                  <c:v>-0.19012909431081698</c:v>
                </c:pt>
                <c:pt idx="2">
                  <c:v>-0.1787133931336064</c:v>
                </c:pt>
                <c:pt idx="3">
                  <c:v>-0.16769176996826568</c:v>
                </c:pt>
                <c:pt idx="4">
                  <c:v>-0.15705461173380464</c:v>
                </c:pt>
                <c:pt idx="5">
                  <c:v>-0.14679230534923318</c:v>
                </c:pt>
                <c:pt idx="6">
                  <c:v>-0.1368952377335611</c:v>
                </c:pt>
                <c:pt idx="7">
                  <c:v>-0.12735379580579828</c:v>
                </c:pt>
                <c:pt idx="8">
                  <c:v>-0.11815836648495458</c:v>
                </c:pt>
                <c:pt idx="9">
                  <c:v>-0.10929933669003984</c:v>
                </c:pt>
                <c:pt idx="10">
                  <c:v>-0.10076709334006388</c:v>
                </c:pt>
                <c:pt idx="11">
                  <c:v>-9.2552023354036603E-2</c:v>
                </c:pt>
                <c:pt idx="12">
                  <c:v>-8.4644513650967812E-2</c:v>
                </c:pt>
                <c:pt idx="13">
                  <c:v>-7.7034951149867387E-2</c:v>
                </c:pt>
                <c:pt idx="14">
                  <c:v>-6.9713722769745204E-2</c:v>
                </c:pt>
                <c:pt idx="15">
                  <c:v>-6.2671215429611044E-2</c:v>
                </c:pt>
                <c:pt idx="16">
                  <c:v>-5.5897816048474797E-2</c:v>
                </c:pt>
                <c:pt idx="17">
                  <c:v>-4.9383911545346354E-2</c:v>
                </c:pt>
                <c:pt idx="18">
                  <c:v>-4.3119888839235503E-2</c:v>
                </c:pt>
                <c:pt idx="19">
                  <c:v>-3.7096134849152106E-2</c:v>
                </c:pt>
                <c:pt idx="20">
                  <c:v>-3.1303036494106054E-2</c:v>
                </c:pt>
                <c:pt idx="21">
                  <c:v>-2.5730980693107114E-2</c:v>
                </c:pt>
                <c:pt idx="22">
                  <c:v>-2.0370354365165291E-2</c:v>
                </c:pt>
                <c:pt idx="23">
                  <c:v>-1.521154442929027E-2</c:v>
                </c:pt>
                <c:pt idx="24">
                  <c:v>-1.0244937804491986E-2</c:v>
                </c:pt>
                <c:pt idx="25">
                  <c:v>-5.4609214097802797E-3</c:v>
                </c:pt>
                <c:pt idx="26">
                  <c:v>-8.4988216416497994E-4</c:v>
                </c:pt>
                <c:pt idx="27">
                  <c:v>3.5977930133440361E-3</c:v>
                </c:pt>
                <c:pt idx="28">
                  <c:v>7.8917172037368602E-3</c:v>
                </c:pt>
                <c:pt idx="29">
                  <c:v>1.2041503488003771E-2</c:v>
                </c:pt>
                <c:pt idx="30">
                  <c:v>1.6056764947134872E-2</c:v>
                </c:pt>
                <c:pt idx="31">
                  <c:v>1.9947114662120277E-2</c:v>
                </c:pt>
                <c:pt idx="32">
                  <c:v>2.3722165713950139E-2</c:v>
                </c:pt>
                <c:pt idx="33">
                  <c:v>2.7391531183614599E-2</c:v>
                </c:pt>
                <c:pt idx="34">
                  <c:v>3.096482415210379E-2</c:v>
                </c:pt>
                <c:pt idx="35">
                  <c:v>3.4451657700407978E-2</c:v>
                </c:pt>
                <c:pt idx="36">
                  <c:v>3.786164490951717E-2</c:v>
                </c:pt>
                <c:pt idx="37">
                  <c:v>4.120439886042164E-2</c:v>
                </c:pt>
                <c:pt idx="38">
                  <c:v>4.4489532634111442E-2</c:v>
                </c:pt>
                <c:pt idx="39">
                  <c:v>4.7726659311576741E-2</c:v>
                </c:pt>
                <c:pt idx="40">
                  <c:v>5.0925391973807702E-2</c:v>
                </c:pt>
                <c:pt idx="41">
                  <c:v>5.4095343701794502E-2</c:v>
                </c:pt>
                <c:pt idx="42">
                  <c:v>5.724612757652732E-2</c:v>
                </c:pt>
                <c:pt idx="43">
                  <c:v>6.0387356678996029E-2</c:v>
                </c:pt>
                <c:pt idx="44">
                  <c:v>6.3528644090191128E-2</c:v>
                </c:pt>
                <c:pt idx="45">
                  <c:v>6.6679602891102668E-2</c:v>
                </c:pt>
                <c:pt idx="46">
                  <c:v>6.9849846162720719E-2</c:v>
                </c:pt>
                <c:pt idx="47">
                  <c:v>7.3048986986035486E-2</c:v>
                </c:pt>
                <c:pt idx="48">
                  <c:v>7.6286638442037064E-2</c:v>
                </c:pt>
                <c:pt idx="49">
                  <c:v>7.9572413611715742E-2</c:v>
                </c:pt>
                <c:pt idx="50">
                  <c:v>8.2915925576061422E-2</c:v>
                </c:pt>
                <c:pt idx="51">
                  <c:v>8.6326787416064504E-2</c:v>
                </c:pt>
                <c:pt idx="52">
                  <c:v>8.9814612212715E-2</c:v>
                </c:pt>
                <c:pt idx="53">
                  <c:v>9.3389013047003006E-2</c:v>
                </c:pt>
                <c:pt idx="54">
                  <c:v>9.7059602999918948E-2</c:v>
                </c:pt>
                <c:pt idx="55">
                  <c:v>0.10083599515245262</c:v>
                </c:pt>
                <c:pt idx="56">
                  <c:v>0.10472780258559433</c:v>
                </c:pt>
                <c:pt idx="57">
                  <c:v>0.10874463838033438</c:v>
                </c:pt>
                <c:pt idx="58">
                  <c:v>0.11289611561766261</c:v>
                </c:pt>
                <c:pt idx="59">
                  <c:v>0.11719184737856941</c:v>
                </c:pt>
                <c:pt idx="60">
                  <c:v>0.12164144674404498</c:v>
                </c:pt>
                <c:pt idx="61">
                  <c:v>0.12625452679507915</c:v>
                </c:pt>
                <c:pt idx="62">
                  <c:v>0.13104070061266238</c:v>
                </c:pt>
                <c:pt idx="63">
                  <c:v>0.13600958127778451</c:v>
                </c:pt>
                <c:pt idx="64">
                  <c:v>0.14117078187143606</c:v>
                </c:pt>
                <c:pt idx="65">
                  <c:v>0.1465339154746067</c:v>
                </c:pt>
                <c:pt idx="66">
                  <c:v>0.15210859516828718</c:v>
                </c:pt>
                <c:pt idx="67">
                  <c:v>0.15790443403346716</c:v>
                </c:pt>
                <c:pt idx="68">
                  <c:v>0.16393104515113688</c:v>
                </c:pt>
                <c:pt idx="69">
                  <c:v>0.17019804160228702</c:v>
                </c:pt>
                <c:pt idx="70">
                  <c:v>0.17671503646790687</c:v>
                </c:pt>
                <c:pt idx="71">
                  <c:v>0.18349164282898722</c:v>
                </c:pt>
                <c:pt idx="72">
                  <c:v>0.19053747376651764</c:v>
                </c:pt>
                <c:pt idx="73">
                  <c:v>0.19786214236148936</c:v>
                </c:pt>
                <c:pt idx="74">
                  <c:v>0.20547526169489105</c:v>
                </c:pt>
                <c:pt idx="75">
                  <c:v>0.21338644484771407</c:v>
                </c:pt>
                <c:pt idx="76">
                  <c:v>0.22160530490094776</c:v>
                </c:pt>
                <c:pt idx="77">
                  <c:v>0.23014145493558325</c:v>
                </c:pt>
                <c:pt idx="78">
                  <c:v>0.23900450803260909</c:v>
                </c:pt>
                <c:pt idx="79">
                  <c:v>0.24820407727301719</c:v>
                </c:pt>
                <c:pt idx="80">
                  <c:v>0.25774977573779656</c:v>
                </c:pt>
                <c:pt idx="81">
                  <c:v>0.26765121650793788</c:v>
                </c:pt>
                <c:pt idx="82">
                  <c:v>0.27791801266443095</c:v>
                </c:pt>
                <c:pt idx="83">
                  <c:v>0.28855977728826609</c:v>
                </c:pt>
                <c:pt idx="84">
                  <c:v>0.29958612346043367</c:v>
                </c:pt>
                <c:pt idx="85">
                  <c:v>0.31100666426192336</c:v>
                </c:pt>
                <c:pt idx="86">
                  <c:v>0.32283101277372528</c:v>
                </c:pt>
                <c:pt idx="87">
                  <c:v>0.33506878207683011</c:v>
                </c:pt>
                <c:pt idx="88">
                  <c:v>0.34772958525222797</c:v>
                </c:pt>
                <c:pt idx="89">
                  <c:v>0.36082303538090876</c:v>
                </c:pt>
                <c:pt idx="90">
                  <c:v>0.37435874554386261</c:v>
                </c:pt>
                <c:pt idx="91">
                  <c:v>0.38834632882207964</c:v>
                </c:pt>
                <c:pt idx="92">
                  <c:v>0.40279539829654998</c:v>
                </c:pt>
                <c:pt idx="93">
                  <c:v>0.41771556704826396</c:v>
                </c:pt>
                <c:pt idx="94">
                  <c:v>0.43311644815821171</c:v>
                </c:pt>
                <c:pt idx="95">
                  <c:v>0.44900765470738313</c:v>
                </c:pt>
                <c:pt idx="96">
                  <c:v>0.46539879977676857</c:v>
                </c:pt>
                <c:pt idx="97">
                  <c:v>0.48229949644735837</c:v>
                </c:pt>
                <c:pt idx="98">
                  <c:v>0.49971935780014265</c:v>
                </c:pt>
                <c:pt idx="99">
                  <c:v>0.51766799691611087</c:v>
                </c:pt>
                <c:pt idx="100">
                  <c:v>0.53615502687625383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E9-4BF9-BC5E-365630F3FADB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plus>
            <c:min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Corrección!$C$117:$C$127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100</c:v>
                </c:pt>
                <c:pt idx="5">
                  <c:v>1000</c:v>
                </c:pt>
                <c:pt idx="6">
                  <c:v>2000</c:v>
                </c:pt>
                <c:pt idx="7">
                  <c:v>3000</c:v>
                </c:pt>
                <c:pt idx="8">
                  <c:v>4000</c:v>
                </c:pt>
                <c:pt idx="9">
                  <c:v>5000</c:v>
                </c:pt>
                <c:pt idx="10">
                  <c:v>6000</c:v>
                </c:pt>
              </c:numCache>
            </c:numRef>
          </c:xVal>
          <c:yVal>
            <c:numRef>
              <c:f>Corrección!$D$117:$D$127</c:f>
              <c:numCache>
                <c:formatCode>General</c:formatCode>
                <c:ptCount val="11"/>
                <c:pt idx="0">
                  <c:v>-0.1</c:v>
                </c:pt>
                <c:pt idx="1">
                  <c:v>-0.33</c:v>
                </c:pt>
                <c:pt idx="2">
                  <c:v>-0.15</c:v>
                </c:pt>
                <c:pt idx="3">
                  <c:v>-0.2</c:v>
                </c:pt>
                <c:pt idx="4">
                  <c:v>-0.12</c:v>
                </c:pt>
                <c:pt idx="5">
                  <c:v>-0.27</c:v>
                </c:pt>
                <c:pt idx="6">
                  <c:v>0.13</c:v>
                </c:pt>
                <c:pt idx="7">
                  <c:v>0.25</c:v>
                </c:pt>
                <c:pt idx="8">
                  <c:v>0</c:v>
                </c:pt>
                <c:pt idx="9">
                  <c:v>0.28999999999999998</c:v>
                </c:pt>
                <c:pt idx="10">
                  <c:v>0.56000000000000005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E9-4BF9-BC5E-365630F3FADB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Corrección!$F$181:$F$190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Corrección!$F$181:$F$190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Corrección!$C$181:$C$190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Corrección!$D$181:$D$190</c:f>
              <c:numCache>
                <c:formatCode>0.0000</c:formatCode>
                <c:ptCount val="10"/>
                <c:pt idx="0">
                  <c:v>-0.20194848658088754</c:v>
                </c:pt>
                <c:pt idx="1">
                  <c:v>-0.20194848658088754</c:v>
                </c:pt>
                <c:pt idx="2">
                  <c:v>-0.20194848658088754</c:v>
                </c:pt>
                <c:pt idx="3">
                  <c:v>-0.20194848658088754</c:v>
                </c:pt>
                <c:pt idx="4">
                  <c:v>-0.20194848658088754</c:v>
                </c:pt>
                <c:pt idx="5">
                  <c:v>-0.20194848658088754</c:v>
                </c:pt>
                <c:pt idx="6">
                  <c:v>-0.20194848658088754</c:v>
                </c:pt>
                <c:pt idx="7">
                  <c:v>-0.20194848658088754</c:v>
                </c:pt>
                <c:pt idx="8">
                  <c:v>-0.20194848658088754</c:v>
                </c:pt>
                <c:pt idx="9">
                  <c:v>-0.20194848658088754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7E9-4BF9-BC5E-365630F3F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Corrección!$G$626:$G$726</c:f>
              <c:numCache>
                <c:formatCode>0.0000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Corrección!$H$626:$H$726</c:f>
              <c:numCache>
                <c:formatCode>0.0000</c:formatCode>
                <c:ptCount val="101"/>
                <c:pt idx="0">
                  <c:v>-1.6783216783218258E-3</c:v>
                </c:pt>
                <c:pt idx="1">
                  <c:v>1.988487762237745E-2</c:v>
                </c:pt>
                <c:pt idx="2">
                  <c:v>3.9998135198135006E-2</c:v>
                </c:pt>
                <c:pt idx="3">
                  <c:v>5.869204545454524E-2</c:v>
                </c:pt>
                <c:pt idx="4">
                  <c:v>7.5997202797202568E-2</c:v>
                </c:pt>
                <c:pt idx="5">
                  <c:v>9.1944201631701403E-2</c:v>
                </c:pt>
                <c:pt idx="6">
                  <c:v>0.1065636363636361</c:v>
                </c:pt>
                <c:pt idx="7">
                  <c:v>0.11988610139860113</c:v>
                </c:pt>
                <c:pt idx="8">
                  <c:v>0.13194219114219086</c:v>
                </c:pt>
                <c:pt idx="9">
                  <c:v>0.14276249999999971</c:v>
                </c:pt>
                <c:pt idx="10">
                  <c:v>0.15237762237762209</c:v>
                </c:pt>
                <c:pt idx="11">
                  <c:v>0.16081815268065239</c:v>
                </c:pt>
                <c:pt idx="12">
                  <c:v>0.16811468531468499</c:v>
                </c:pt>
                <c:pt idx="13">
                  <c:v>0.17429781468531438</c:v>
                </c:pt>
                <c:pt idx="14">
                  <c:v>0.17939813519813486</c:v>
                </c:pt>
                <c:pt idx="15">
                  <c:v>0.18344624125874096</c:v>
                </c:pt>
                <c:pt idx="16">
                  <c:v>0.18647272727272693</c:v>
                </c:pt>
                <c:pt idx="17">
                  <c:v>0.18850818764568733</c:v>
                </c:pt>
                <c:pt idx="18">
                  <c:v>0.18958321678321646</c:v>
                </c:pt>
                <c:pt idx="19">
                  <c:v>0.1897284090909088</c:v>
                </c:pt>
                <c:pt idx="20">
                  <c:v>0.18897435897435871</c:v>
                </c:pt>
                <c:pt idx="21">
                  <c:v>0.18735166083916055</c:v>
                </c:pt>
                <c:pt idx="22">
                  <c:v>0.1848909090909088</c:v>
                </c:pt>
                <c:pt idx="23">
                  <c:v>0.1816226981351978</c:v>
                </c:pt>
                <c:pt idx="24">
                  <c:v>0.17757762237762209</c:v>
                </c:pt>
                <c:pt idx="25">
                  <c:v>0.17278627622377596</c:v>
                </c:pt>
                <c:pt idx="26">
                  <c:v>0.16727925407925381</c:v>
                </c:pt>
                <c:pt idx="27">
                  <c:v>0.16108715034965015</c:v>
                </c:pt>
                <c:pt idx="28">
                  <c:v>0.15424055944055912</c:v>
                </c:pt>
                <c:pt idx="29">
                  <c:v>0.14677007575757556</c:v>
                </c:pt>
                <c:pt idx="30">
                  <c:v>0.1387062937062935</c:v>
                </c:pt>
                <c:pt idx="31">
                  <c:v>0.13007980769230762</c:v>
                </c:pt>
                <c:pt idx="32">
                  <c:v>0.12092121212121187</c:v>
                </c:pt>
                <c:pt idx="33">
                  <c:v>0.11126110139860121</c:v>
                </c:pt>
                <c:pt idx="34">
                  <c:v>0.10113006993006979</c:v>
                </c:pt>
                <c:pt idx="35">
                  <c:v>9.0558712121212054E-2</c:v>
                </c:pt>
                <c:pt idx="36">
                  <c:v>7.9577622377622226E-2</c:v>
                </c:pt>
                <c:pt idx="37">
                  <c:v>6.8217395104895051E-2</c:v>
                </c:pt>
                <c:pt idx="38">
                  <c:v>5.6508624708624611E-2</c:v>
                </c:pt>
                <c:pt idx="39">
                  <c:v>4.4481905594405569E-2</c:v>
                </c:pt>
                <c:pt idx="40">
                  <c:v>3.2167832167832144E-2</c:v>
                </c:pt>
                <c:pt idx="41">
                  <c:v>1.9596998834498947E-2</c:v>
                </c:pt>
                <c:pt idx="42">
                  <c:v>6.8000000000000282E-3</c:v>
                </c:pt>
                <c:pt idx="43">
                  <c:v>-6.1925699300700021E-3</c:v>
                </c:pt>
                <c:pt idx="44">
                  <c:v>-1.9350116550116481E-2</c:v>
                </c:pt>
                <c:pt idx="45">
                  <c:v>-3.2642045454545299E-2</c:v>
                </c:pt>
                <c:pt idx="46">
                  <c:v>-4.6037762237762292E-2</c:v>
                </c:pt>
                <c:pt idx="47">
                  <c:v>-5.9506672494172519E-2</c:v>
                </c:pt>
                <c:pt idx="48">
                  <c:v>-7.301818181818176E-2</c:v>
                </c:pt>
                <c:pt idx="49">
                  <c:v>-8.6541695804195684E-2</c:v>
                </c:pt>
                <c:pt idx="50">
                  <c:v>-0.10004662004661991</c:v>
                </c:pt>
                <c:pt idx="51">
                  <c:v>-0.11350236013986004</c:v>
                </c:pt>
                <c:pt idx="52">
                  <c:v>-0.12687832167832147</c:v>
                </c:pt>
                <c:pt idx="53">
                  <c:v>-0.14014391025641015</c:v>
                </c:pt>
                <c:pt idx="54">
                  <c:v>-0.15326853146853114</c:v>
                </c:pt>
                <c:pt idx="55">
                  <c:v>-0.16622159090909083</c:v>
                </c:pt>
                <c:pt idx="56">
                  <c:v>-0.17897249417249439</c:v>
                </c:pt>
                <c:pt idx="57">
                  <c:v>-0.19149064685314687</c:v>
                </c:pt>
                <c:pt idx="58">
                  <c:v>-0.20374545454545434</c:v>
                </c:pt>
                <c:pt idx="59">
                  <c:v>-0.21570632284382252</c:v>
                </c:pt>
                <c:pt idx="60">
                  <c:v>-0.22734265734265713</c:v>
                </c:pt>
                <c:pt idx="61">
                  <c:v>-0.23862386363636379</c:v>
                </c:pt>
                <c:pt idx="62">
                  <c:v>-0.24951934731934666</c:v>
                </c:pt>
                <c:pt idx="63">
                  <c:v>-0.25999851398601348</c:v>
                </c:pt>
                <c:pt idx="64">
                  <c:v>-0.27003076923076907</c:v>
                </c:pt>
                <c:pt idx="65">
                  <c:v>-0.27958551864801806</c:v>
                </c:pt>
                <c:pt idx="66">
                  <c:v>-0.2886321678321675</c:v>
                </c:pt>
                <c:pt idx="67">
                  <c:v>-0.29714012237762244</c:v>
                </c:pt>
                <c:pt idx="68">
                  <c:v>-0.30507878787878751</c:v>
                </c:pt>
                <c:pt idx="69">
                  <c:v>-0.31241756993006997</c:v>
                </c:pt>
                <c:pt idx="70">
                  <c:v>-0.31912587412587334</c:v>
                </c:pt>
                <c:pt idx="71">
                  <c:v>-0.32517310606060579</c:v>
                </c:pt>
                <c:pt idx="72">
                  <c:v>-0.33052867132867103</c:v>
                </c:pt>
                <c:pt idx="73">
                  <c:v>-0.3351619755244748</c:v>
                </c:pt>
                <c:pt idx="74">
                  <c:v>-0.33904242424242392</c:v>
                </c:pt>
                <c:pt idx="75">
                  <c:v>-0.3421394230769228</c:v>
                </c:pt>
                <c:pt idx="76">
                  <c:v>-0.3444223776223776</c:v>
                </c:pt>
                <c:pt idx="77">
                  <c:v>-0.34586069347319315</c:v>
                </c:pt>
                <c:pt idx="78">
                  <c:v>-0.34642377622377563</c:v>
                </c:pt>
                <c:pt idx="79">
                  <c:v>-0.3460810314685312</c:v>
                </c:pt>
                <c:pt idx="80">
                  <c:v>-0.3448018648018647</c:v>
                </c:pt>
                <c:pt idx="81">
                  <c:v>-0.34255568181818097</c:v>
                </c:pt>
                <c:pt idx="82">
                  <c:v>-0.33931188811188751</c:v>
                </c:pt>
                <c:pt idx="83">
                  <c:v>-0.3350398892773887</c:v>
                </c:pt>
                <c:pt idx="84">
                  <c:v>-0.32970909090909029</c:v>
                </c:pt>
                <c:pt idx="85">
                  <c:v>-0.32328889860139887</c:v>
                </c:pt>
                <c:pt idx="86">
                  <c:v>-0.31574871794871795</c:v>
                </c:pt>
                <c:pt idx="87">
                  <c:v>-0.30705795454545415</c:v>
                </c:pt>
                <c:pt idx="88">
                  <c:v>-0.29718601398601363</c:v>
                </c:pt>
                <c:pt idx="89">
                  <c:v>-0.28610230186480123</c:v>
                </c:pt>
                <c:pt idx="90">
                  <c:v>-0.27377622377622313</c:v>
                </c:pt>
                <c:pt idx="91">
                  <c:v>-0.26017718531468637</c:v>
                </c:pt>
                <c:pt idx="92">
                  <c:v>-0.24527459207459179</c:v>
                </c:pt>
                <c:pt idx="93">
                  <c:v>-0.22903784965034912</c:v>
                </c:pt>
                <c:pt idx="94">
                  <c:v>-0.21143636363636364</c:v>
                </c:pt>
                <c:pt idx="95">
                  <c:v>-0.1924395396270393</c:v>
                </c:pt>
                <c:pt idx="96">
                  <c:v>-0.17201678321678315</c:v>
                </c:pt>
                <c:pt idx="97">
                  <c:v>-0.15013750000000137</c:v>
                </c:pt>
                <c:pt idx="98">
                  <c:v>-0.12677109557109567</c:v>
                </c:pt>
                <c:pt idx="99">
                  <c:v>-0.10188697552447579</c:v>
                </c:pt>
                <c:pt idx="100">
                  <c:v>-7.5454545454546107E-2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09-47C6-B182-BEE6A7226933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plus>
            <c:min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Corrección!$C$213:$C$223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xVal>
          <c:yVal>
            <c:numRef>
              <c:f>Corrección!$D$213:$D$223</c:f>
              <c:numCache>
                <c:formatCode>General</c:formatCode>
                <c:ptCount val="11"/>
                <c:pt idx="0">
                  <c:v>0.01</c:v>
                </c:pt>
                <c:pt idx="1">
                  <c:v>0.12</c:v>
                </c:pt>
                <c:pt idx="2">
                  <c:v>0.18</c:v>
                </c:pt>
                <c:pt idx="3">
                  <c:v>0.17</c:v>
                </c:pt>
                <c:pt idx="4">
                  <c:v>0.08</c:v>
                </c:pt>
                <c:pt idx="5">
                  <c:v>-0.09</c:v>
                </c:pt>
                <c:pt idx="6">
                  <c:v>-0.28999999999999998</c:v>
                </c:pt>
                <c:pt idx="7">
                  <c:v>-0.4</c:v>
                </c:pt>
                <c:pt idx="8">
                  <c:v>-0.31</c:v>
                </c:pt>
                <c:pt idx="9">
                  <c:v>-0.16</c:v>
                </c:pt>
                <c:pt idx="10">
                  <c:v>-0.14000000000000001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09-47C6-B182-BEE6A7226933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Corrección!$F$247:$F$256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Corrección!$F$247:$F$256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Corrección!$C$247:$C$256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Corrección!$D$247:$D$256</c:f>
              <c:numCache>
                <c:formatCode>0.0000</c:formatCode>
                <c:ptCount val="10"/>
                <c:pt idx="0">
                  <c:v>-1.6783216783218258E-3</c:v>
                </c:pt>
                <c:pt idx="1">
                  <c:v>-1.6783216783218258E-3</c:v>
                </c:pt>
                <c:pt idx="2">
                  <c:v>-1.6783216783218258E-3</c:v>
                </c:pt>
                <c:pt idx="3">
                  <c:v>-1.6783216783218258E-3</c:v>
                </c:pt>
                <c:pt idx="4">
                  <c:v>-1.6783216783218258E-3</c:v>
                </c:pt>
                <c:pt idx="5">
                  <c:v>-1.6783216783218258E-3</c:v>
                </c:pt>
                <c:pt idx="6">
                  <c:v>-1.6783216783218258E-3</c:v>
                </c:pt>
                <c:pt idx="7">
                  <c:v>-1.6783216783218258E-3</c:v>
                </c:pt>
                <c:pt idx="8">
                  <c:v>-1.6783216783218258E-3</c:v>
                </c:pt>
                <c:pt idx="9">
                  <c:v>-1.6783216783218258E-3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209-47C6-B182-BEE6A7226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Corrección!$G$626:$G$726</c:f>
              <c:numCache>
                <c:formatCode>0.0000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Corrección!$H$626:$H$726</c:f>
              <c:numCache>
                <c:formatCode>0.0000</c:formatCode>
                <c:ptCount val="101"/>
                <c:pt idx="0">
                  <c:v>-1.6783216783218258E-3</c:v>
                </c:pt>
                <c:pt idx="1">
                  <c:v>1.988487762237745E-2</c:v>
                </c:pt>
                <c:pt idx="2">
                  <c:v>3.9998135198135006E-2</c:v>
                </c:pt>
                <c:pt idx="3">
                  <c:v>5.869204545454524E-2</c:v>
                </c:pt>
                <c:pt idx="4">
                  <c:v>7.5997202797202568E-2</c:v>
                </c:pt>
                <c:pt idx="5">
                  <c:v>9.1944201631701403E-2</c:v>
                </c:pt>
                <c:pt idx="6">
                  <c:v>0.1065636363636361</c:v>
                </c:pt>
                <c:pt idx="7">
                  <c:v>0.11988610139860113</c:v>
                </c:pt>
                <c:pt idx="8">
                  <c:v>0.13194219114219086</c:v>
                </c:pt>
                <c:pt idx="9">
                  <c:v>0.14276249999999971</c:v>
                </c:pt>
                <c:pt idx="10">
                  <c:v>0.15237762237762209</c:v>
                </c:pt>
                <c:pt idx="11">
                  <c:v>0.16081815268065239</c:v>
                </c:pt>
                <c:pt idx="12">
                  <c:v>0.16811468531468499</c:v>
                </c:pt>
                <c:pt idx="13">
                  <c:v>0.17429781468531438</c:v>
                </c:pt>
                <c:pt idx="14">
                  <c:v>0.17939813519813486</c:v>
                </c:pt>
                <c:pt idx="15">
                  <c:v>0.18344624125874096</c:v>
                </c:pt>
                <c:pt idx="16">
                  <c:v>0.18647272727272693</c:v>
                </c:pt>
                <c:pt idx="17">
                  <c:v>0.18850818764568733</c:v>
                </c:pt>
                <c:pt idx="18">
                  <c:v>0.18958321678321646</c:v>
                </c:pt>
                <c:pt idx="19">
                  <c:v>0.1897284090909088</c:v>
                </c:pt>
                <c:pt idx="20">
                  <c:v>0.18897435897435871</c:v>
                </c:pt>
                <c:pt idx="21">
                  <c:v>0.18735166083916055</c:v>
                </c:pt>
                <c:pt idx="22">
                  <c:v>0.1848909090909088</c:v>
                </c:pt>
                <c:pt idx="23">
                  <c:v>0.1816226981351978</c:v>
                </c:pt>
                <c:pt idx="24">
                  <c:v>0.17757762237762209</c:v>
                </c:pt>
                <c:pt idx="25">
                  <c:v>0.17278627622377596</c:v>
                </c:pt>
                <c:pt idx="26">
                  <c:v>0.16727925407925381</c:v>
                </c:pt>
                <c:pt idx="27">
                  <c:v>0.16108715034965015</c:v>
                </c:pt>
                <c:pt idx="28">
                  <c:v>0.15424055944055912</c:v>
                </c:pt>
                <c:pt idx="29">
                  <c:v>0.14677007575757556</c:v>
                </c:pt>
                <c:pt idx="30">
                  <c:v>0.1387062937062935</c:v>
                </c:pt>
                <c:pt idx="31">
                  <c:v>0.13007980769230762</c:v>
                </c:pt>
                <c:pt idx="32">
                  <c:v>0.12092121212121187</c:v>
                </c:pt>
                <c:pt idx="33">
                  <c:v>0.11126110139860121</c:v>
                </c:pt>
                <c:pt idx="34">
                  <c:v>0.10113006993006979</c:v>
                </c:pt>
                <c:pt idx="35">
                  <c:v>9.0558712121212054E-2</c:v>
                </c:pt>
                <c:pt idx="36">
                  <c:v>7.9577622377622226E-2</c:v>
                </c:pt>
                <c:pt idx="37">
                  <c:v>6.8217395104895051E-2</c:v>
                </c:pt>
                <c:pt idx="38">
                  <c:v>5.6508624708624611E-2</c:v>
                </c:pt>
                <c:pt idx="39">
                  <c:v>4.4481905594405569E-2</c:v>
                </c:pt>
                <c:pt idx="40">
                  <c:v>3.2167832167832144E-2</c:v>
                </c:pt>
                <c:pt idx="41">
                  <c:v>1.9596998834498947E-2</c:v>
                </c:pt>
                <c:pt idx="42">
                  <c:v>6.8000000000000282E-3</c:v>
                </c:pt>
                <c:pt idx="43">
                  <c:v>-6.1925699300700021E-3</c:v>
                </c:pt>
                <c:pt idx="44">
                  <c:v>-1.9350116550116481E-2</c:v>
                </c:pt>
                <c:pt idx="45">
                  <c:v>-3.2642045454545299E-2</c:v>
                </c:pt>
                <c:pt idx="46">
                  <c:v>-4.6037762237762292E-2</c:v>
                </c:pt>
                <c:pt idx="47">
                  <c:v>-5.9506672494172519E-2</c:v>
                </c:pt>
                <c:pt idx="48">
                  <c:v>-7.301818181818176E-2</c:v>
                </c:pt>
                <c:pt idx="49">
                  <c:v>-8.6541695804195684E-2</c:v>
                </c:pt>
                <c:pt idx="50">
                  <c:v>-0.10004662004661991</c:v>
                </c:pt>
                <c:pt idx="51">
                  <c:v>-0.11350236013986004</c:v>
                </c:pt>
                <c:pt idx="52">
                  <c:v>-0.12687832167832147</c:v>
                </c:pt>
                <c:pt idx="53">
                  <c:v>-0.14014391025641015</c:v>
                </c:pt>
                <c:pt idx="54">
                  <c:v>-0.15326853146853114</c:v>
                </c:pt>
                <c:pt idx="55">
                  <c:v>-0.16622159090909083</c:v>
                </c:pt>
                <c:pt idx="56">
                  <c:v>-0.17897249417249439</c:v>
                </c:pt>
                <c:pt idx="57">
                  <c:v>-0.19149064685314687</c:v>
                </c:pt>
                <c:pt idx="58">
                  <c:v>-0.20374545454545434</c:v>
                </c:pt>
                <c:pt idx="59">
                  <c:v>-0.21570632284382252</c:v>
                </c:pt>
                <c:pt idx="60">
                  <c:v>-0.22734265734265713</c:v>
                </c:pt>
                <c:pt idx="61">
                  <c:v>-0.23862386363636379</c:v>
                </c:pt>
                <c:pt idx="62">
                  <c:v>-0.24951934731934666</c:v>
                </c:pt>
                <c:pt idx="63">
                  <c:v>-0.25999851398601348</c:v>
                </c:pt>
                <c:pt idx="64">
                  <c:v>-0.27003076923076907</c:v>
                </c:pt>
                <c:pt idx="65">
                  <c:v>-0.27958551864801806</c:v>
                </c:pt>
                <c:pt idx="66">
                  <c:v>-0.2886321678321675</c:v>
                </c:pt>
                <c:pt idx="67">
                  <c:v>-0.29714012237762244</c:v>
                </c:pt>
                <c:pt idx="68">
                  <c:v>-0.30507878787878751</c:v>
                </c:pt>
                <c:pt idx="69">
                  <c:v>-0.31241756993006997</c:v>
                </c:pt>
                <c:pt idx="70">
                  <c:v>-0.31912587412587334</c:v>
                </c:pt>
                <c:pt idx="71">
                  <c:v>-0.32517310606060579</c:v>
                </c:pt>
                <c:pt idx="72">
                  <c:v>-0.33052867132867103</c:v>
                </c:pt>
                <c:pt idx="73">
                  <c:v>-0.3351619755244748</c:v>
                </c:pt>
                <c:pt idx="74">
                  <c:v>-0.33904242424242392</c:v>
                </c:pt>
                <c:pt idx="75">
                  <c:v>-0.3421394230769228</c:v>
                </c:pt>
                <c:pt idx="76">
                  <c:v>-0.3444223776223776</c:v>
                </c:pt>
                <c:pt idx="77">
                  <c:v>-0.34586069347319315</c:v>
                </c:pt>
                <c:pt idx="78">
                  <c:v>-0.34642377622377563</c:v>
                </c:pt>
                <c:pt idx="79">
                  <c:v>-0.3460810314685312</c:v>
                </c:pt>
                <c:pt idx="80">
                  <c:v>-0.3448018648018647</c:v>
                </c:pt>
                <c:pt idx="81">
                  <c:v>-0.34255568181818097</c:v>
                </c:pt>
                <c:pt idx="82">
                  <c:v>-0.33931188811188751</c:v>
                </c:pt>
                <c:pt idx="83">
                  <c:v>-0.3350398892773887</c:v>
                </c:pt>
                <c:pt idx="84">
                  <c:v>-0.32970909090909029</c:v>
                </c:pt>
                <c:pt idx="85">
                  <c:v>-0.32328889860139887</c:v>
                </c:pt>
                <c:pt idx="86">
                  <c:v>-0.31574871794871795</c:v>
                </c:pt>
                <c:pt idx="87">
                  <c:v>-0.30705795454545415</c:v>
                </c:pt>
                <c:pt idx="88">
                  <c:v>-0.29718601398601363</c:v>
                </c:pt>
                <c:pt idx="89">
                  <c:v>-0.28610230186480123</c:v>
                </c:pt>
                <c:pt idx="90">
                  <c:v>-0.27377622377622313</c:v>
                </c:pt>
                <c:pt idx="91">
                  <c:v>-0.26017718531468637</c:v>
                </c:pt>
                <c:pt idx="92">
                  <c:v>-0.24527459207459179</c:v>
                </c:pt>
                <c:pt idx="93">
                  <c:v>-0.22903784965034912</c:v>
                </c:pt>
                <c:pt idx="94">
                  <c:v>-0.21143636363636364</c:v>
                </c:pt>
                <c:pt idx="95">
                  <c:v>-0.1924395396270393</c:v>
                </c:pt>
                <c:pt idx="96">
                  <c:v>-0.17201678321678315</c:v>
                </c:pt>
                <c:pt idx="97">
                  <c:v>-0.15013750000000137</c:v>
                </c:pt>
                <c:pt idx="98">
                  <c:v>-0.12677109557109567</c:v>
                </c:pt>
                <c:pt idx="99">
                  <c:v>-0.10188697552447579</c:v>
                </c:pt>
                <c:pt idx="100">
                  <c:v>-7.5454545454546107E-2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4F-43CF-917D-9CBCC0EE0FAF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plus>
            <c:min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Corrección!$C$213:$C$223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xVal>
          <c:yVal>
            <c:numRef>
              <c:f>Corrección!$D$213:$D$223</c:f>
              <c:numCache>
                <c:formatCode>General</c:formatCode>
                <c:ptCount val="11"/>
                <c:pt idx="0">
                  <c:v>0.01</c:v>
                </c:pt>
                <c:pt idx="1">
                  <c:v>0.12</c:v>
                </c:pt>
                <c:pt idx="2">
                  <c:v>0.18</c:v>
                </c:pt>
                <c:pt idx="3">
                  <c:v>0.17</c:v>
                </c:pt>
                <c:pt idx="4">
                  <c:v>0.08</c:v>
                </c:pt>
                <c:pt idx="5">
                  <c:v>-0.09</c:v>
                </c:pt>
                <c:pt idx="6">
                  <c:v>-0.28999999999999998</c:v>
                </c:pt>
                <c:pt idx="7">
                  <c:v>-0.4</c:v>
                </c:pt>
                <c:pt idx="8">
                  <c:v>-0.31</c:v>
                </c:pt>
                <c:pt idx="9">
                  <c:v>-0.16</c:v>
                </c:pt>
                <c:pt idx="10">
                  <c:v>-0.14000000000000001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4F-43CF-917D-9CBCC0EE0FAF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Corrección!$F$267:$F$276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Corrección!$F$267:$F$276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Corrección!$C$267:$C$276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Corrección!$D$267:$D$276</c:f>
              <c:numCache>
                <c:formatCode>0.0000</c:formatCode>
                <c:ptCount val="10"/>
                <c:pt idx="0">
                  <c:v>-1.6783216783218258E-3</c:v>
                </c:pt>
                <c:pt idx="1">
                  <c:v>-1.6783216783218258E-3</c:v>
                </c:pt>
                <c:pt idx="2">
                  <c:v>-1.6783216783218258E-3</c:v>
                </c:pt>
                <c:pt idx="3">
                  <c:v>-1.6783216783218258E-3</c:v>
                </c:pt>
                <c:pt idx="4">
                  <c:v>-1.6783216783218258E-3</c:v>
                </c:pt>
                <c:pt idx="5">
                  <c:v>-1.6783216783218258E-3</c:v>
                </c:pt>
                <c:pt idx="6">
                  <c:v>-1.6783216783218258E-3</c:v>
                </c:pt>
                <c:pt idx="7">
                  <c:v>-1.6783216783218258E-3</c:v>
                </c:pt>
                <c:pt idx="8">
                  <c:v>-1.6783216783218258E-3</c:v>
                </c:pt>
                <c:pt idx="9">
                  <c:v>-1.6783216783218258E-3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44F-43CF-917D-9CBCC0EE0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[°C]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[°C]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Corrección!$G$626:$G$726</c:f>
              <c:numCache>
                <c:formatCode>0.0000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Corrección!$H$626:$H$726</c:f>
              <c:numCache>
                <c:formatCode>0.0000</c:formatCode>
                <c:ptCount val="101"/>
                <c:pt idx="0">
                  <c:v>-1.6783216783218258E-3</c:v>
                </c:pt>
                <c:pt idx="1">
                  <c:v>1.988487762237745E-2</c:v>
                </c:pt>
                <c:pt idx="2">
                  <c:v>3.9998135198135006E-2</c:v>
                </c:pt>
                <c:pt idx="3">
                  <c:v>5.869204545454524E-2</c:v>
                </c:pt>
                <c:pt idx="4">
                  <c:v>7.5997202797202568E-2</c:v>
                </c:pt>
                <c:pt idx="5">
                  <c:v>9.1944201631701403E-2</c:v>
                </c:pt>
                <c:pt idx="6">
                  <c:v>0.1065636363636361</c:v>
                </c:pt>
                <c:pt idx="7">
                  <c:v>0.11988610139860113</c:v>
                </c:pt>
                <c:pt idx="8">
                  <c:v>0.13194219114219086</c:v>
                </c:pt>
                <c:pt idx="9">
                  <c:v>0.14276249999999971</c:v>
                </c:pt>
                <c:pt idx="10">
                  <c:v>0.15237762237762209</c:v>
                </c:pt>
                <c:pt idx="11">
                  <c:v>0.16081815268065239</c:v>
                </c:pt>
                <c:pt idx="12">
                  <c:v>0.16811468531468499</c:v>
                </c:pt>
                <c:pt idx="13">
                  <c:v>0.17429781468531438</c:v>
                </c:pt>
                <c:pt idx="14">
                  <c:v>0.17939813519813486</c:v>
                </c:pt>
                <c:pt idx="15">
                  <c:v>0.18344624125874096</c:v>
                </c:pt>
                <c:pt idx="16">
                  <c:v>0.18647272727272693</c:v>
                </c:pt>
                <c:pt idx="17">
                  <c:v>0.18850818764568733</c:v>
                </c:pt>
                <c:pt idx="18">
                  <c:v>0.18958321678321646</c:v>
                </c:pt>
                <c:pt idx="19">
                  <c:v>0.1897284090909088</c:v>
                </c:pt>
                <c:pt idx="20">
                  <c:v>0.18897435897435871</c:v>
                </c:pt>
                <c:pt idx="21">
                  <c:v>0.18735166083916055</c:v>
                </c:pt>
                <c:pt idx="22">
                  <c:v>0.1848909090909088</c:v>
                </c:pt>
                <c:pt idx="23">
                  <c:v>0.1816226981351978</c:v>
                </c:pt>
                <c:pt idx="24">
                  <c:v>0.17757762237762209</c:v>
                </c:pt>
                <c:pt idx="25">
                  <c:v>0.17278627622377596</c:v>
                </c:pt>
                <c:pt idx="26">
                  <c:v>0.16727925407925381</c:v>
                </c:pt>
                <c:pt idx="27">
                  <c:v>0.16108715034965015</c:v>
                </c:pt>
                <c:pt idx="28">
                  <c:v>0.15424055944055912</c:v>
                </c:pt>
                <c:pt idx="29">
                  <c:v>0.14677007575757556</c:v>
                </c:pt>
                <c:pt idx="30">
                  <c:v>0.1387062937062935</c:v>
                </c:pt>
                <c:pt idx="31">
                  <c:v>0.13007980769230762</c:v>
                </c:pt>
                <c:pt idx="32">
                  <c:v>0.12092121212121187</c:v>
                </c:pt>
                <c:pt idx="33">
                  <c:v>0.11126110139860121</c:v>
                </c:pt>
                <c:pt idx="34">
                  <c:v>0.10113006993006979</c:v>
                </c:pt>
                <c:pt idx="35">
                  <c:v>9.0558712121212054E-2</c:v>
                </c:pt>
                <c:pt idx="36">
                  <c:v>7.9577622377622226E-2</c:v>
                </c:pt>
                <c:pt idx="37">
                  <c:v>6.8217395104895051E-2</c:v>
                </c:pt>
                <c:pt idx="38">
                  <c:v>5.6508624708624611E-2</c:v>
                </c:pt>
                <c:pt idx="39">
                  <c:v>4.4481905594405569E-2</c:v>
                </c:pt>
                <c:pt idx="40">
                  <c:v>3.2167832167832144E-2</c:v>
                </c:pt>
                <c:pt idx="41">
                  <c:v>1.9596998834498947E-2</c:v>
                </c:pt>
                <c:pt idx="42">
                  <c:v>6.8000000000000282E-3</c:v>
                </c:pt>
                <c:pt idx="43">
                  <c:v>-6.1925699300700021E-3</c:v>
                </c:pt>
                <c:pt idx="44">
                  <c:v>-1.9350116550116481E-2</c:v>
                </c:pt>
                <c:pt idx="45">
                  <c:v>-3.2642045454545299E-2</c:v>
                </c:pt>
                <c:pt idx="46">
                  <c:v>-4.6037762237762292E-2</c:v>
                </c:pt>
                <c:pt idx="47">
                  <c:v>-5.9506672494172519E-2</c:v>
                </c:pt>
                <c:pt idx="48">
                  <c:v>-7.301818181818176E-2</c:v>
                </c:pt>
                <c:pt idx="49">
                  <c:v>-8.6541695804195684E-2</c:v>
                </c:pt>
                <c:pt idx="50">
                  <c:v>-0.10004662004661991</c:v>
                </c:pt>
                <c:pt idx="51">
                  <c:v>-0.11350236013986004</c:v>
                </c:pt>
                <c:pt idx="52">
                  <c:v>-0.12687832167832147</c:v>
                </c:pt>
                <c:pt idx="53">
                  <c:v>-0.14014391025641015</c:v>
                </c:pt>
                <c:pt idx="54">
                  <c:v>-0.15326853146853114</c:v>
                </c:pt>
                <c:pt idx="55">
                  <c:v>-0.16622159090909083</c:v>
                </c:pt>
                <c:pt idx="56">
                  <c:v>-0.17897249417249439</c:v>
                </c:pt>
                <c:pt idx="57">
                  <c:v>-0.19149064685314687</c:v>
                </c:pt>
                <c:pt idx="58">
                  <c:v>-0.20374545454545434</c:v>
                </c:pt>
                <c:pt idx="59">
                  <c:v>-0.21570632284382252</c:v>
                </c:pt>
                <c:pt idx="60">
                  <c:v>-0.22734265734265713</c:v>
                </c:pt>
                <c:pt idx="61">
                  <c:v>-0.23862386363636379</c:v>
                </c:pt>
                <c:pt idx="62">
                  <c:v>-0.24951934731934666</c:v>
                </c:pt>
                <c:pt idx="63">
                  <c:v>-0.25999851398601348</c:v>
                </c:pt>
                <c:pt idx="64">
                  <c:v>-0.27003076923076907</c:v>
                </c:pt>
                <c:pt idx="65">
                  <c:v>-0.27958551864801806</c:v>
                </c:pt>
                <c:pt idx="66">
                  <c:v>-0.2886321678321675</c:v>
                </c:pt>
                <c:pt idx="67">
                  <c:v>-0.29714012237762244</c:v>
                </c:pt>
                <c:pt idx="68">
                  <c:v>-0.30507878787878751</c:v>
                </c:pt>
                <c:pt idx="69">
                  <c:v>-0.31241756993006997</c:v>
                </c:pt>
                <c:pt idx="70">
                  <c:v>-0.31912587412587334</c:v>
                </c:pt>
                <c:pt idx="71">
                  <c:v>-0.32517310606060579</c:v>
                </c:pt>
                <c:pt idx="72">
                  <c:v>-0.33052867132867103</c:v>
                </c:pt>
                <c:pt idx="73">
                  <c:v>-0.3351619755244748</c:v>
                </c:pt>
                <c:pt idx="74">
                  <c:v>-0.33904242424242392</c:v>
                </c:pt>
                <c:pt idx="75">
                  <c:v>-0.3421394230769228</c:v>
                </c:pt>
                <c:pt idx="76">
                  <c:v>-0.3444223776223776</c:v>
                </c:pt>
                <c:pt idx="77">
                  <c:v>-0.34586069347319315</c:v>
                </c:pt>
                <c:pt idx="78">
                  <c:v>-0.34642377622377563</c:v>
                </c:pt>
                <c:pt idx="79">
                  <c:v>-0.3460810314685312</c:v>
                </c:pt>
                <c:pt idx="80">
                  <c:v>-0.3448018648018647</c:v>
                </c:pt>
                <c:pt idx="81">
                  <c:v>-0.34255568181818097</c:v>
                </c:pt>
                <c:pt idx="82">
                  <c:v>-0.33931188811188751</c:v>
                </c:pt>
                <c:pt idx="83">
                  <c:v>-0.3350398892773887</c:v>
                </c:pt>
                <c:pt idx="84">
                  <c:v>-0.32970909090909029</c:v>
                </c:pt>
                <c:pt idx="85">
                  <c:v>-0.32328889860139887</c:v>
                </c:pt>
                <c:pt idx="86">
                  <c:v>-0.31574871794871795</c:v>
                </c:pt>
                <c:pt idx="87">
                  <c:v>-0.30705795454545415</c:v>
                </c:pt>
                <c:pt idx="88">
                  <c:v>-0.29718601398601363</c:v>
                </c:pt>
                <c:pt idx="89">
                  <c:v>-0.28610230186480123</c:v>
                </c:pt>
                <c:pt idx="90">
                  <c:v>-0.27377622377622313</c:v>
                </c:pt>
                <c:pt idx="91">
                  <c:v>-0.26017718531468637</c:v>
                </c:pt>
                <c:pt idx="92">
                  <c:v>-0.24527459207459179</c:v>
                </c:pt>
                <c:pt idx="93">
                  <c:v>-0.22903784965034912</c:v>
                </c:pt>
                <c:pt idx="94">
                  <c:v>-0.21143636363636364</c:v>
                </c:pt>
                <c:pt idx="95">
                  <c:v>-0.1924395396270393</c:v>
                </c:pt>
                <c:pt idx="96">
                  <c:v>-0.17201678321678315</c:v>
                </c:pt>
                <c:pt idx="97">
                  <c:v>-0.15013750000000137</c:v>
                </c:pt>
                <c:pt idx="98">
                  <c:v>-0.12677109557109567</c:v>
                </c:pt>
                <c:pt idx="99">
                  <c:v>-0.10188697552447579</c:v>
                </c:pt>
                <c:pt idx="100">
                  <c:v>-7.5454545454546107E-2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9E-411A-A494-A9FBDF074EB1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plus>
            <c:min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Corrección!$C$213:$C$223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xVal>
          <c:yVal>
            <c:numRef>
              <c:f>Corrección!$D$213:$D$223</c:f>
              <c:numCache>
                <c:formatCode>General</c:formatCode>
                <c:ptCount val="11"/>
                <c:pt idx="0">
                  <c:v>0.01</c:v>
                </c:pt>
                <c:pt idx="1">
                  <c:v>0.12</c:v>
                </c:pt>
                <c:pt idx="2">
                  <c:v>0.18</c:v>
                </c:pt>
                <c:pt idx="3">
                  <c:v>0.17</c:v>
                </c:pt>
                <c:pt idx="4">
                  <c:v>0.08</c:v>
                </c:pt>
                <c:pt idx="5">
                  <c:v>-0.09</c:v>
                </c:pt>
                <c:pt idx="6">
                  <c:v>-0.28999999999999998</c:v>
                </c:pt>
                <c:pt idx="7">
                  <c:v>-0.4</c:v>
                </c:pt>
                <c:pt idx="8">
                  <c:v>-0.31</c:v>
                </c:pt>
                <c:pt idx="9">
                  <c:v>-0.16</c:v>
                </c:pt>
                <c:pt idx="10">
                  <c:v>-0.14000000000000001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9E-411A-A494-A9FBDF074EB1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Corrección!$F$277:$F$286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Corrección!$F$277:$F$286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Corrección!$C$277:$C$286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Corrección!$D$277:$D$286</c:f>
              <c:numCache>
                <c:formatCode>0.0000</c:formatCode>
                <c:ptCount val="10"/>
                <c:pt idx="0">
                  <c:v>-1.6783216783218258E-3</c:v>
                </c:pt>
                <c:pt idx="1">
                  <c:v>-1.6783216783218258E-3</c:v>
                </c:pt>
                <c:pt idx="2">
                  <c:v>-1.6783216783218258E-3</c:v>
                </c:pt>
                <c:pt idx="3">
                  <c:v>-1.6783216783218258E-3</c:v>
                </c:pt>
                <c:pt idx="4">
                  <c:v>-1.6783216783218258E-3</c:v>
                </c:pt>
                <c:pt idx="5">
                  <c:v>-1.6783216783218258E-3</c:v>
                </c:pt>
                <c:pt idx="6">
                  <c:v>-1.6783216783218258E-3</c:v>
                </c:pt>
                <c:pt idx="7">
                  <c:v>-1.6783216783218258E-3</c:v>
                </c:pt>
                <c:pt idx="8">
                  <c:v>-1.6783216783218258E-3</c:v>
                </c:pt>
                <c:pt idx="9">
                  <c:v>-1.6783216783218258E-3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9E-411A-A494-A9FBDF074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Histéresis de las correcciones promedio por tipo de prueba y por serie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1.9626349989666485E-2"/>
          <c:y val="1.66250995542378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'Toma de datos'!$D$162</c:f>
              <c:strCache>
                <c:ptCount val="1"/>
                <c:pt idx="0">
                  <c:v>Ascenso, serie 1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datos'!$D$163:$D$172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A4-4348-AA6E-5C392624B4F9}"/>
            </c:ext>
          </c:extLst>
        </c:ser>
        <c:ser>
          <c:idx val="1"/>
          <c:order val="1"/>
          <c:tx>
            <c:strRef>
              <c:f>'Toma de datos'!$E$162</c:f>
              <c:strCache>
                <c:ptCount val="1"/>
                <c:pt idx="0">
                  <c:v>Descenso, serie 1</c:v>
                </c:pt>
              </c:strCache>
            </c:strRef>
          </c:tx>
          <c:spPr>
            <a:ln w="127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datos'!$E$163:$E$172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A4-4348-AA6E-5C392624B4F9}"/>
            </c:ext>
          </c:extLst>
        </c:ser>
        <c:ser>
          <c:idx val="2"/>
          <c:order val="2"/>
          <c:tx>
            <c:strRef>
              <c:f>'Toma de datos'!$F$162</c:f>
              <c:strCache>
                <c:ptCount val="1"/>
                <c:pt idx="0">
                  <c:v>Ascenso, serie 2</c:v>
                </c:pt>
              </c:strCache>
            </c:strRef>
          </c:tx>
          <c:spPr>
            <a:ln w="15875" cap="rnd">
              <a:solidFill>
                <a:srgbClr val="00B050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datos'!$F$163:$F$172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5A4-4348-AA6E-5C392624B4F9}"/>
            </c:ext>
          </c:extLst>
        </c:ser>
        <c:ser>
          <c:idx val="3"/>
          <c:order val="3"/>
          <c:tx>
            <c:strRef>
              <c:f>'Toma de datos'!$G$162</c:f>
              <c:strCache>
                <c:ptCount val="1"/>
                <c:pt idx="0">
                  <c:v>Descenso, serie 2</c:v>
                </c:pt>
              </c:strCache>
            </c:strRef>
          </c:tx>
          <c:spPr>
            <a:ln w="15875" cap="rnd">
              <a:solidFill>
                <a:srgbClr val="7030A0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datos'!$G$163:$G$172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A4-4348-AA6E-5C392624B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9741776"/>
        <c:axId val="599736528"/>
      </c:scatterChart>
      <c:valAx>
        <c:axId val="599741776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rgbClr val="002060"/>
                    </a:solidFill>
                  </a:rPr>
                  <a:t>Indicación promedio del IBC, [en unidades del cliente]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out"/>
        <c:tickLblPos val="high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9736528"/>
        <c:crosses val="max"/>
        <c:crossBetween val="midCat"/>
      </c:valAx>
      <c:valAx>
        <c:axId val="59973652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0" i="0" baseline="0">
                    <a:solidFill>
                      <a:srgbClr val="002060"/>
                    </a:solidFill>
                    <a:effectLst/>
                  </a:rPr>
                  <a:t>Corrección promedio a la indicación del IBC,</a:t>
                </a:r>
                <a:endParaRPr lang="en-US" sz="1200">
                  <a:solidFill>
                    <a:srgbClr val="002060"/>
                  </a:solidFill>
                  <a:effectLst/>
                </a:endParaRPr>
              </a:p>
              <a:p>
                <a:pPr>
                  <a:defRPr sz="1200">
                    <a:solidFill>
                      <a:srgbClr val="002060"/>
                    </a:solidFill>
                  </a:defRPr>
                </a:pPr>
                <a:r>
                  <a:rPr lang="en-US" sz="1200" b="0" i="0" baseline="0">
                    <a:solidFill>
                      <a:srgbClr val="002060"/>
                    </a:solidFill>
                    <a:effectLst/>
                  </a:rPr>
                  <a:t>[en unidades del cliente]</a:t>
                </a:r>
                <a:endParaRPr lang="en-US" sz="1200">
                  <a:solidFill>
                    <a:srgbClr val="00206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cross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9741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2.8023337847321228E-3"/>
          <c:y val="0.12332498849333662"/>
          <c:w val="0.89999995870723071"/>
          <c:h val="5.41396901390205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i="0">
                <a:solidFill>
                  <a:schemeClr val="tx1"/>
                </a:solidFill>
              </a:rPr>
              <a:t>Curva</a:t>
            </a:r>
            <a:r>
              <a:rPr lang="en-US" i="0" baseline="0">
                <a:solidFill>
                  <a:schemeClr val="tx1"/>
                </a:solidFill>
              </a:rPr>
              <a:t> de r</a:t>
            </a:r>
            <a:r>
              <a:rPr lang="en-US" i="0">
                <a:solidFill>
                  <a:schemeClr val="tx1"/>
                </a:solidFill>
              </a:rPr>
              <a:t>egresión</a:t>
            </a:r>
            <a:r>
              <a:rPr lang="en-US" i="0" baseline="0">
                <a:solidFill>
                  <a:schemeClr val="tx1"/>
                </a:solidFill>
              </a:rPr>
              <a:t> de los resultados de calibración P004-3 (t.amb)</a:t>
            </a:r>
            <a:endParaRPr lang="en-US" i="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Corrección!$G$732:$G$832</c:f>
              <c:numCache>
                <c:formatCode>0.0000</c:formatCode>
                <c:ptCount val="101"/>
                <c:pt idx="0">
                  <c:v>15</c:v>
                </c:pt>
                <c:pt idx="1">
                  <c:v>15.236000000000001</c:v>
                </c:pt>
                <c:pt idx="2">
                  <c:v>15.472000000000001</c:v>
                </c:pt>
                <c:pt idx="3">
                  <c:v>15.708000000000002</c:v>
                </c:pt>
                <c:pt idx="4">
                  <c:v>15.944000000000003</c:v>
                </c:pt>
                <c:pt idx="5">
                  <c:v>16.180000000000003</c:v>
                </c:pt>
                <c:pt idx="6">
                  <c:v>16.416000000000004</c:v>
                </c:pt>
                <c:pt idx="7">
                  <c:v>16.652000000000005</c:v>
                </c:pt>
                <c:pt idx="8">
                  <c:v>16.888000000000005</c:v>
                </c:pt>
                <c:pt idx="9">
                  <c:v>17.124000000000006</c:v>
                </c:pt>
                <c:pt idx="10">
                  <c:v>17.360000000000007</c:v>
                </c:pt>
                <c:pt idx="11">
                  <c:v>17.596000000000007</c:v>
                </c:pt>
                <c:pt idx="12">
                  <c:v>17.832000000000008</c:v>
                </c:pt>
                <c:pt idx="13">
                  <c:v>18.068000000000008</c:v>
                </c:pt>
                <c:pt idx="14">
                  <c:v>18.304000000000009</c:v>
                </c:pt>
                <c:pt idx="15">
                  <c:v>18.54000000000001</c:v>
                </c:pt>
                <c:pt idx="16">
                  <c:v>18.77600000000001</c:v>
                </c:pt>
                <c:pt idx="17">
                  <c:v>19.012000000000011</c:v>
                </c:pt>
                <c:pt idx="18">
                  <c:v>19.248000000000012</c:v>
                </c:pt>
                <c:pt idx="19">
                  <c:v>19.484000000000012</c:v>
                </c:pt>
                <c:pt idx="20">
                  <c:v>19.720000000000013</c:v>
                </c:pt>
                <c:pt idx="21">
                  <c:v>19.956000000000014</c:v>
                </c:pt>
                <c:pt idx="22">
                  <c:v>20.192000000000014</c:v>
                </c:pt>
                <c:pt idx="23">
                  <c:v>20.428000000000015</c:v>
                </c:pt>
                <c:pt idx="24">
                  <c:v>20.664000000000016</c:v>
                </c:pt>
                <c:pt idx="25">
                  <c:v>20.900000000000016</c:v>
                </c:pt>
                <c:pt idx="26">
                  <c:v>21.136000000000017</c:v>
                </c:pt>
                <c:pt idx="27">
                  <c:v>21.372000000000018</c:v>
                </c:pt>
                <c:pt idx="28">
                  <c:v>21.608000000000018</c:v>
                </c:pt>
                <c:pt idx="29">
                  <c:v>21.844000000000019</c:v>
                </c:pt>
                <c:pt idx="30">
                  <c:v>22.08000000000002</c:v>
                </c:pt>
                <c:pt idx="31">
                  <c:v>22.31600000000002</c:v>
                </c:pt>
                <c:pt idx="32">
                  <c:v>22.552000000000021</c:v>
                </c:pt>
                <c:pt idx="33">
                  <c:v>22.788000000000022</c:v>
                </c:pt>
                <c:pt idx="34">
                  <c:v>23.024000000000022</c:v>
                </c:pt>
                <c:pt idx="35">
                  <c:v>23.260000000000023</c:v>
                </c:pt>
                <c:pt idx="36">
                  <c:v>23.496000000000024</c:v>
                </c:pt>
                <c:pt idx="37">
                  <c:v>23.732000000000024</c:v>
                </c:pt>
                <c:pt idx="38">
                  <c:v>23.968000000000025</c:v>
                </c:pt>
                <c:pt idx="39">
                  <c:v>24.204000000000025</c:v>
                </c:pt>
                <c:pt idx="40">
                  <c:v>24.440000000000026</c:v>
                </c:pt>
                <c:pt idx="41">
                  <c:v>24.676000000000027</c:v>
                </c:pt>
                <c:pt idx="42">
                  <c:v>24.912000000000027</c:v>
                </c:pt>
                <c:pt idx="43">
                  <c:v>25.148000000000028</c:v>
                </c:pt>
                <c:pt idx="44">
                  <c:v>25.384000000000029</c:v>
                </c:pt>
                <c:pt idx="45">
                  <c:v>25.620000000000029</c:v>
                </c:pt>
                <c:pt idx="46">
                  <c:v>25.85600000000003</c:v>
                </c:pt>
                <c:pt idx="47">
                  <c:v>26.092000000000031</c:v>
                </c:pt>
                <c:pt idx="48">
                  <c:v>26.328000000000031</c:v>
                </c:pt>
                <c:pt idx="49">
                  <c:v>26.564000000000032</c:v>
                </c:pt>
                <c:pt idx="50">
                  <c:v>26.800000000000033</c:v>
                </c:pt>
                <c:pt idx="51">
                  <c:v>27.036000000000033</c:v>
                </c:pt>
                <c:pt idx="52">
                  <c:v>27.272000000000034</c:v>
                </c:pt>
                <c:pt idx="53">
                  <c:v>27.508000000000035</c:v>
                </c:pt>
                <c:pt idx="54">
                  <c:v>27.744000000000035</c:v>
                </c:pt>
                <c:pt idx="55">
                  <c:v>27.980000000000036</c:v>
                </c:pt>
                <c:pt idx="56">
                  <c:v>28.216000000000037</c:v>
                </c:pt>
                <c:pt idx="57">
                  <c:v>28.452000000000037</c:v>
                </c:pt>
                <c:pt idx="58">
                  <c:v>28.688000000000038</c:v>
                </c:pt>
                <c:pt idx="59">
                  <c:v>28.924000000000039</c:v>
                </c:pt>
                <c:pt idx="60">
                  <c:v>29.160000000000039</c:v>
                </c:pt>
                <c:pt idx="61">
                  <c:v>29.39600000000004</c:v>
                </c:pt>
                <c:pt idx="62">
                  <c:v>29.632000000000041</c:v>
                </c:pt>
                <c:pt idx="63">
                  <c:v>29.868000000000041</c:v>
                </c:pt>
                <c:pt idx="64">
                  <c:v>30.104000000000042</c:v>
                </c:pt>
                <c:pt idx="65">
                  <c:v>30.340000000000042</c:v>
                </c:pt>
                <c:pt idx="66">
                  <c:v>30.576000000000043</c:v>
                </c:pt>
                <c:pt idx="67">
                  <c:v>30.812000000000044</c:v>
                </c:pt>
                <c:pt idx="68">
                  <c:v>31.048000000000044</c:v>
                </c:pt>
                <c:pt idx="69">
                  <c:v>31.284000000000045</c:v>
                </c:pt>
                <c:pt idx="70">
                  <c:v>31.520000000000046</c:v>
                </c:pt>
                <c:pt idx="71">
                  <c:v>31.756000000000046</c:v>
                </c:pt>
                <c:pt idx="72">
                  <c:v>31.992000000000047</c:v>
                </c:pt>
                <c:pt idx="73">
                  <c:v>32.228000000000044</c:v>
                </c:pt>
                <c:pt idx="74">
                  <c:v>32.464000000000041</c:v>
                </c:pt>
                <c:pt idx="75">
                  <c:v>32.700000000000038</c:v>
                </c:pt>
                <c:pt idx="76">
                  <c:v>32.936000000000035</c:v>
                </c:pt>
                <c:pt idx="77">
                  <c:v>33.172000000000033</c:v>
                </c:pt>
                <c:pt idx="78">
                  <c:v>33.40800000000003</c:v>
                </c:pt>
                <c:pt idx="79">
                  <c:v>33.644000000000027</c:v>
                </c:pt>
                <c:pt idx="80">
                  <c:v>33.880000000000024</c:v>
                </c:pt>
                <c:pt idx="81">
                  <c:v>34.116000000000021</c:v>
                </c:pt>
                <c:pt idx="82">
                  <c:v>34.352000000000018</c:v>
                </c:pt>
                <c:pt idx="83">
                  <c:v>34.588000000000015</c:v>
                </c:pt>
                <c:pt idx="84">
                  <c:v>34.824000000000012</c:v>
                </c:pt>
                <c:pt idx="85">
                  <c:v>35.060000000000009</c:v>
                </c:pt>
                <c:pt idx="86">
                  <c:v>35.296000000000006</c:v>
                </c:pt>
                <c:pt idx="87">
                  <c:v>35.532000000000004</c:v>
                </c:pt>
                <c:pt idx="88">
                  <c:v>35.768000000000001</c:v>
                </c:pt>
                <c:pt idx="89">
                  <c:v>36.003999999999998</c:v>
                </c:pt>
                <c:pt idx="90">
                  <c:v>36.239999999999995</c:v>
                </c:pt>
                <c:pt idx="91">
                  <c:v>36.475999999999992</c:v>
                </c:pt>
                <c:pt idx="92">
                  <c:v>36.711999999999989</c:v>
                </c:pt>
                <c:pt idx="93">
                  <c:v>36.947999999999986</c:v>
                </c:pt>
                <c:pt idx="94">
                  <c:v>37.183999999999983</c:v>
                </c:pt>
                <c:pt idx="95">
                  <c:v>37.41999999999998</c:v>
                </c:pt>
                <c:pt idx="96">
                  <c:v>37.655999999999977</c:v>
                </c:pt>
                <c:pt idx="97">
                  <c:v>37.891999999999975</c:v>
                </c:pt>
                <c:pt idx="98">
                  <c:v>38.127999999999972</c:v>
                </c:pt>
                <c:pt idx="99">
                  <c:v>38.363999999999969</c:v>
                </c:pt>
                <c:pt idx="100">
                  <c:v>38.599999999999966</c:v>
                </c:pt>
              </c:numCache>
            </c:numRef>
          </c:xVal>
          <c:yVal>
            <c:numRef>
              <c:f>Corrección!$H$732:$H$832</c:f>
              <c:numCache>
                <c:formatCode>0.0000</c:formatCode>
                <c:ptCount val="101"/>
                <c:pt idx="0">
                  <c:v>0.63770054484987126</c:v>
                </c:pt>
                <c:pt idx="1">
                  <c:v>0.64291183810175223</c:v>
                </c:pt>
                <c:pt idx="2">
                  <c:v>0.64812313135363331</c:v>
                </c:pt>
                <c:pt idx="3">
                  <c:v>0.65333442460551439</c:v>
                </c:pt>
                <c:pt idx="4">
                  <c:v>0.65854571785739546</c:v>
                </c:pt>
                <c:pt idx="5">
                  <c:v>0.66375701110927654</c:v>
                </c:pt>
                <c:pt idx="6">
                  <c:v>0.66896830436115751</c:v>
                </c:pt>
                <c:pt idx="7">
                  <c:v>0.67417959761303858</c:v>
                </c:pt>
                <c:pt idx="8">
                  <c:v>0.67939089086491955</c:v>
                </c:pt>
                <c:pt idx="9">
                  <c:v>0.68460218411680063</c:v>
                </c:pt>
                <c:pt idx="10">
                  <c:v>0.6898134773686817</c:v>
                </c:pt>
                <c:pt idx="11">
                  <c:v>0.69502477062056278</c:v>
                </c:pt>
                <c:pt idx="12">
                  <c:v>0.70023606387244386</c:v>
                </c:pt>
                <c:pt idx="13">
                  <c:v>0.70544735712432483</c:v>
                </c:pt>
                <c:pt idx="14">
                  <c:v>0.7106586503762059</c:v>
                </c:pt>
                <c:pt idx="15">
                  <c:v>0.71586994362808687</c:v>
                </c:pt>
                <c:pt idx="16">
                  <c:v>0.72108123687996795</c:v>
                </c:pt>
                <c:pt idx="17">
                  <c:v>0.72629253013184902</c:v>
                </c:pt>
                <c:pt idx="18">
                  <c:v>0.7315038233837301</c:v>
                </c:pt>
                <c:pt idx="19">
                  <c:v>0.73671511663561118</c:v>
                </c:pt>
                <c:pt idx="20">
                  <c:v>0.74192640988749214</c:v>
                </c:pt>
                <c:pt idx="21">
                  <c:v>0.74713770313937311</c:v>
                </c:pt>
                <c:pt idx="22">
                  <c:v>0.75234899639125419</c:v>
                </c:pt>
                <c:pt idx="23">
                  <c:v>0.75756028964313527</c:v>
                </c:pt>
                <c:pt idx="24">
                  <c:v>0.76277158289501634</c:v>
                </c:pt>
                <c:pt idx="25">
                  <c:v>0.76798287614689742</c:v>
                </c:pt>
                <c:pt idx="26">
                  <c:v>0.7731941693987785</c:v>
                </c:pt>
                <c:pt idx="27">
                  <c:v>0.77840546265065946</c:v>
                </c:pt>
                <c:pt idx="28">
                  <c:v>0.78361675590254043</c:v>
                </c:pt>
                <c:pt idx="29">
                  <c:v>0.78882804915442151</c:v>
                </c:pt>
                <c:pt idx="30">
                  <c:v>0.79403934240630258</c:v>
                </c:pt>
                <c:pt idx="31">
                  <c:v>0.79925063565818366</c:v>
                </c:pt>
                <c:pt idx="32">
                  <c:v>0.80446192891006474</c:v>
                </c:pt>
                <c:pt idx="33">
                  <c:v>0.8096732221619457</c:v>
                </c:pt>
                <c:pt idx="34">
                  <c:v>0.81488451541382678</c:v>
                </c:pt>
                <c:pt idx="35">
                  <c:v>0.82009580866570786</c:v>
                </c:pt>
                <c:pt idx="36">
                  <c:v>0.82530710191758883</c:v>
                </c:pt>
                <c:pt idx="37">
                  <c:v>0.8305183951694699</c:v>
                </c:pt>
                <c:pt idx="38">
                  <c:v>0.83572968842135098</c:v>
                </c:pt>
                <c:pt idx="39">
                  <c:v>0.84094098167323195</c:v>
                </c:pt>
                <c:pt idx="40">
                  <c:v>0.84615227492511302</c:v>
                </c:pt>
                <c:pt idx="41">
                  <c:v>0.8513635681769941</c:v>
                </c:pt>
                <c:pt idx="42">
                  <c:v>0.85657486142887518</c:v>
                </c:pt>
                <c:pt idx="43">
                  <c:v>0.86178615468075614</c:v>
                </c:pt>
                <c:pt idx="44">
                  <c:v>0.86699744793263722</c:v>
                </c:pt>
                <c:pt idx="45">
                  <c:v>0.8722087411845183</c:v>
                </c:pt>
                <c:pt idx="46">
                  <c:v>0.87742003443639927</c:v>
                </c:pt>
                <c:pt idx="47">
                  <c:v>0.88263132768828034</c:v>
                </c:pt>
                <c:pt idx="48">
                  <c:v>0.88784262094016142</c:v>
                </c:pt>
                <c:pt idx="49">
                  <c:v>0.8930539141920425</c:v>
                </c:pt>
                <c:pt idx="50">
                  <c:v>0.89826520744392346</c:v>
                </c:pt>
                <c:pt idx="51">
                  <c:v>0.90347650069580454</c:v>
                </c:pt>
                <c:pt idx="52">
                  <c:v>0.90868779394768562</c:v>
                </c:pt>
                <c:pt idx="53">
                  <c:v>0.91389908719956658</c:v>
                </c:pt>
                <c:pt idx="54">
                  <c:v>0.91911038045144766</c:v>
                </c:pt>
                <c:pt idx="55">
                  <c:v>0.92432167370332874</c:v>
                </c:pt>
                <c:pt idx="56">
                  <c:v>0.92953296695520971</c:v>
                </c:pt>
                <c:pt idx="57">
                  <c:v>0.93474426020709078</c:v>
                </c:pt>
                <c:pt idx="58">
                  <c:v>0.93995555345897186</c:v>
                </c:pt>
                <c:pt idx="59">
                  <c:v>0.94516684671085294</c:v>
                </c:pt>
                <c:pt idx="60">
                  <c:v>0.9503781399627339</c:v>
                </c:pt>
                <c:pt idx="61">
                  <c:v>0.95558943321461498</c:v>
                </c:pt>
                <c:pt idx="62">
                  <c:v>0.96080072646649606</c:v>
                </c:pt>
                <c:pt idx="63">
                  <c:v>0.96601201971837702</c:v>
                </c:pt>
                <c:pt idx="64">
                  <c:v>0.9712233129702581</c:v>
                </c:pt>
                <c:pt idx="65">
                  <c:v>0.97643460622213918</c:v>
                </c:pt>
                <c:pt idx="66">
                  <c:v>0.98164589947402026</c:v>
                </c:pt>
                <c:pt idx="67">
                  <c:v>0.98685719272590122</c:v>
                </c:pt>
                <c:pt idx="68">
                  <c:v>0.9920684859777823</c:v>
                </c:pt>
                <c:pt idx="69">
                  <c:v>0.99727977922966338</c:v>
                </c:pt>
                <c:pt idx="70">
                  <c:v>1.0024910724815443</c:v>
                </c:pt>
                <c:pt idx="71">
                  <c:v>1.0077023657334254</c:v>
                </c:pt>
                <c:pt idx="72">
                  <c:v>1.0129136589853065</c:v>
                </c:pt>
                <c:pt idx="73">
                  <c:v>1.0181249522371876</c:v>
                </c:pt>
                <c:pt idx="74">
                  <c:v>1.0233362454890684</c:v>
                </c:pt>
                <c:pt idx="75">
                  <c:v>1.0285475387409493</c:v>
                </c:pt>
                <c:pt idx="76">
                  <c:v>1.0337588319928304</c:v>
                </c:pt>
                <c:pt idx="77">
                  <c:v>1.0389701252447114</c:v>
                </c:pt>
                <c:pt idx="78">
                  <c:v>1.0441814184965923</c:v>
                </c:pt>
                <c:pt idx="79">
                  <c:v>1.0493927117484732</c:v>
                </c:pt>
                <c:pt idx="80">
                  <c:v>1.0546040050003542</c:v>
                </c:pt>
                <c:pt idx="81">
                  <c:v>1.0598152982522353</c:v>
                </c:pt>
                <c:pt idx="82">
                  <c:v>1.0650265915041162</c:v>
                </c:pt>
                <c:pt idx="83">
                  <c:v>1.070237884755997</c:v>
                </c:pt>
                <c:pt idx="84">
                  <c:v>1.0754491780078781</c:v>
                </c:pt>
                <c:pt idx="85">
                  <c:v>1.0806604712597592</c:v>
                </c:pt>
                <c:pt idx="86">
                  <c:v>1.08587176451164</c:v>
                </c:pt>
                <c:pt idx="87">
                  <c:v>1.0910830577635209</c:v>
                </c:pt>
                <c:pt idx="88">
                  <c:v>1.096294351015402</c:v>
                </c:pt>
                <c:pt idx="89">
                  <c:v>1.101505644267283</c:v>
                </c:pt>
                <c:pt idx="90">
                  <c:v>1.1067169375191639</c:v>
                </c:pt>
                <c:pt idx="91">
                  <c:v>1.1119282307710447</c:v>
                </c:pt>
                <c:pt idx="92">
                  <c:v>1.1171395240229258</c:v>
                </c:pt>
                <c:pt idx="93">
                  <c:v>1.1223508172748069</c:v>
                </c:pt>
                <c:pt idx="94">
                  <c:v>1.1275621105266878</c:v>
                </c:pt>
                <c:pt idx="95">
                  <c:v>1.1327734037785686</c:v>
                </c:pt>
                <c:pt idx="96">
                  <c:v>1.1379846970304497</c:v>
                </c:pt>
                <c:pt idx="97">
                  <c:v>1.1431959902823308</c:v>
                </c:pt>
                <c:pt idx="98">
                  <c:v>1.1484072835342116</c:v>
                </c:pt>
                <c:pt idx="99">
                  <c:v>1.1536185767860925</c:v>
                </c:pt>
                <c:pt idx="100">
                  <c:v>1.1588298700379736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66-4C7D-9709-CAEE8D0BA1AC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Corrección!$E$460:$E$462</c:f>
                <c:numCache>
                  <c:formatCode>General</c:formatCode>
                  <c:ptCount val="3"/>
                  <c:pt idx="0">
                    <c:v>0.28000000000000003</c:v>
                  </c:pt>
                  <c:pt idx="1">
                    <c:v>0.28999999999999998</c:v>
                  </c:pt>
                  <c:pt idx="2">
                    <c:v>0.28999999999999998</c:v>
                  </c:pt>
                </c:numCache>
              </c:numRef>
            </c:plus>
            <c:minus>
              <c:numRef>
                <c:f>Corrección!$E$460:$E$462</c:f>
                <c:numCache>
                  <c:formatCode>General</c:formatCode>
                  <c:ptCount val="3"/>
                  <c:pt idx="0">
                    <c:v>0.28000000000000003</c:v>
                  </c:pt>
                  <c:pt idx="1">
                    <c:v>0.28999999999999998</c:v>
                  </c:pt>
                  <c:pt idx="2">
                    <c:v>0.28999999999999998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Corrección!$C$460:$C$462</c:f>
              <c:numCache>
                <c:formatCode>General</c:formatCode>
                <c:ptCount val="3"/>
                <c:pt idx="0">
                  <c:v>15</c:v>
                </c:pt>
                <c:pt idx="1">
                  <c:v>29.3</c:v>
                </c:pt>
                <c:pt idx="2">
                  <c:v>38.6</c:v>
                </c:pt>
              </c:numCache>
            </c:numRef>
          </c:xVal>
          <c:yVal>
            <c:numRef>
              <c:f>Corrección!$D$460:$D$462</c:f>
              <c:numCache>
                <c:formatCode>General</c:formatCode>
                <c:ptCount val="3"/>
                <c:pt idx="0">
                  <c:v>0.71</c:v>
                </c:pt>
                <c:pt idx="1">
                  <c:v>0.77</c:v>
                </c:pt>
                <c:pt idx="2">
                  <c:v>1.27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66-4C7D-9709-CAEE8D0BA1AC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Corrección!$E$474:$E$475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Corrección!$F$474:$F$475</c:f>
              <c:numCache>
                <c:formatCode>0.0000</c:formatCode>
                <c:ptCount val="2"/>
                <c:pt idx="0">
                  <c:v>0.30647427884048373</c:v>
                </c:pt>
                <c:pt idx="1">
                  <c:v>0.30647427884048373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A66-4C7D-9709-CAEE8D0BA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[°C]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[°C]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i="0">
                <a:solidFill>
                  <a:schemeClr val="tx1"/>
                </a:solidFill>
              </a:rPr>
              <a:t>Curva</a:t>
            </a:r>
            <a:r>
              <a:rPr lang="en-US" i="0" baseline="0">
                <a:solidFill>
                  <a:schemeClr val="tx1"/>
                </a:solidFill>
              </a:rPr>
              <a:t> de r</a:t>
            </a:r>
            <a:r>
              <a:rPr lang="en-US" i="0">
                <a:solidFill>
                  <a:schemeClr val="tx1"/>
                </a:solidFill>
              </a:rPr>
              <a:t>egresión</a:t>
            </a:r>
            <a:r>
              <a:rPr lang="en-US" i="0" baseline="0">
                <a:solidFill>
                  <a:schemeClr val="tx1"/>
                </a:solidFill>
              </a:rPr>
              <a:t> de los resultados de calibración P004-3 (h.rel)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Corrección!$I$732:$I$832</c:f>
              <c:numCache>
                <c:formatCode>0.0000</c:formatCode>
                <c:ptCount val="101"/>
                <c:pt idx="0">
                  <c:v>21</c:v>
                </c:pt>
                <c:pt idx="1">
                  <c:v>21.56</c:v>
                </c:pt>
                <c:pt idx="2">
                  <c:v>22.119999999999997</c:v>
                </c:pt>
                <c:pt idx="3">
                  <c:v>22.679999999999996</c:v>
                </c:pt>
                <c:pt idx="4">
                  <c:v>23.239999999999995</c:v>
                </c:pt>
                <c:pt idx="5">
                  <c:v>23.799999999999994</c:v>
                </c:pt>
                <c:pt idx="6">
                  <c:v>24.359999999999992</c:v>
                </c:pt>
                <c:pt idx="7">
                  <c:v>24.919999999999991</c:v>
                </c:pt>
                <c:pt idx="8">
                  <c:v>25.47999999999999</c:v>
                </c:pt>
                <c:pt idx="9">
                  <c:v>26.039999999999988</c:v>
                </c:pt>
                <c:pt idx="10">
                  <c:v>26.599999999999987</c:v>
                </c:pt>
                <c:pt idx="11">
                  <c:v>27.159999999999986</c:v>
                </c:pt>
                <c:pt idx="12">
                  <c:v>27.719999999999985</c:v>
                </c:pt>
                <c:pt idx="13">
                  <c:v>28.279999999999983</c:v>
                </c:pt>
                <c:pt idx="14">
                  <c:v>28.839999999999982</c:v>
                </c:pt>
                <c:pt idx="15">
                  <c:v>29.399999999999981</c:v>
                </c:pt>
                <c:pt idx="16">
                  <c:v>29.95999999999998</c:v>
                </c:pt>
                <c:pt idx="17">
                  <c:v>30.519999999999978</c:v>
                </c:pt>
                <c:pt idx="18">
                  <c:v>31.079999999999977</c:v>
                </c:pt>
                <c:pt idx="19">
                  <c:v>31.639999999999976</c:v>
                </c:pt>
                <c:pt idx="20">
                  <c:v>32.199999999999974</c:v>
                </c:pt>
                <c:pt idx="21">
                  <c:v>32.759999999999977</c:v>
                </c:pt>
                <c:pt idx="22">
                  <c:v>33.319999999999979</c:v>
                </c:pt>
                <c:pt idx="23">
                  <c:v>33.879999999999981</c:v>
                </c:pt>
                <c:pt idx="24">
                  <c:v>34.439999999999984</c:v>
                </c:pt>
                <c:pt idx="25">
                  <c:v>34.999999999999986</c:v>
                </c:pt>
                <c:pt idx="26">
                  <c:v>35.559999999999988</c:v>
                </c:pt>
                <c:pt idx="27">
                  <c:v>36.11999999999999</c:v>
                </c:pt>
                <c:pt idx="28">
                  <c:v>36.679999999999993</c:v>
                </c:pt>
                <c:pt idx="29">
                  <c:v>37.239999999999995</c:v>
                </c:pt>
                <c:pt idx="30">
                  <c:v>37.799999999999997</c:v>
                </c:pt>
                <c:pt idx="31">
                  <c:v>38.36</c:v>
                </c:pt>
                <c:pt idx="32">
                  <c:v>38.92</c:v>
                </c:pt>
                <c:pt idx="33">
                  <c:v>39.480000000000004</c:v>
                </c:pt>
                <c:pt idx="34">
                  <c:v>40.040000000000006</c:v>
                </c:pt>
                <c:pt idx="35">
                  <c:v>40.600000000000009</c:v>
                </c:pt>
                <c:pt idx="36">
                  <c:v>41.160000000000011</c:v>
                </c:pt>
                <c:pt idx="37">
                  <c:v>41.720000000000013</c:v>
                </c:pt>
                <c:pt idx="38">
                  <c:v>42.280000000000015</c:v>
                </c:pt>
                <c:pt idx="39">
                  <c:v>42.840000000000018</c:v>
                </c:pt>
                <c:pt idx="40">
                  <c:v>43.40000000000002</c:v>
                </c:pt>
                <c:pt idx="41">
                  <c:v>43.960000000000022</c:v>
                </c:pt>
                <c:pt idx="42">
                  <c:v>44.520000000000024</c:v>
                </c:pt>
                <c:pt idx="43">
                  <c:v>45.080000000000027</c:v>
                </c:pt>
                <c:pt idx="44">
                  <c:v>45.640000000000029</c:v>
                </c:pt>
                <c:pt idx="45">
                  <c:v>46.200000000000031</c:v>
                </c:pt>
                <c:pt idx="46">
                  <c:v>46.760000000000034</c:v>
                </c:pt>
                <c:pt idx="47">
                  <c:v>47.320000000000036</c:v>
                </c:pt>
                <c:pt idx="48">
                  <c:v>47.880000000000038</c:v>
                </c:pt>
                <c:pt idx="49">
                  <c:v>48.44000000000004</c:v>
                </c:pt>
                <c:pt idx="50">
                  <c:v>49.000000000000043</c:v>
                </c:pt>
                <c:pt idx="51">
                  <c:v>49.560000000000045</c:v>
                </c:pt>
                <c:pt idx="52">
                  <c:v>50.120000000000047</c:v>
                </c:pt>
                <c:pt idx="53">
                  <c:v>50.680000000000049</c:v>
                </c:pt>
                <c:pt idx="54">
                  <c:v>51.240000000000052</c:v>
                </c:pt>
                <c:pt idx="55">
                  <c:v>51.800000000000054</c:v>
                </c:pt>
                <c:pt idx="56">
                  <c:v>52.360000000000056</c:v>
                </c:pt>
                <c:pt idx="57">
                  <c:v>52.920000000000059</c:v>
                </c:pt>
                <c:pt idx="58">
                  <c:v>53.480000000000061</c:v>
                </c:pt>
                <c:pt idx="59">
                  <c:v>54.040000000000063</c:v>
                </c:pt>
                <c:pt idx="60">
                  <c:v>54.600000000000065</c:v>
                </c:pt>
                <c:pt idx="61">
                  <c:v>55.160000000000068</c:v>
                </c:pt>
                <c:pt idx="62">
                  <c:v>55.72000000000007</c:v>
                </c:pt>
                <c:pt idx="63">
                  <c:v>56.280000000000072</c:v>
                </c:pt>
                <c:pt idx="64">
                  <c:v>56.840000000000074</c:v>
                </c:pt>
                <c:pt idx="65">
                  <c:v>57.400000000000077</c:v>
                </c:pt>
                <c:pt idx="66">
                  <c:v>57.960000000000079</c:v>
                </c:pt>
                <c:pt idx="67">
                  <c:v>58.520000000000081</c:v>
                </c:pt>
                <c:pt idx="68">
                  <c:v>59.080000000000084</c:v>
                </c:pt>
                <c:pt idx="69">
                  <c:v>59.640000000000086</c:v>
                </c:pt>
                <c:pt idx="70">
                  <c:v>60.200000000000088</c:v>
                </c:pt>
                <c:pt idx="71">
                  <c:v>60.76000000000009</c:v>
                </c:pt>
                <c:pt idx="72">
                  <c:v>61.320000000000093</c:v>
                </c:pt>
                <c:pt idx="73">
                  <c:v>61.880000000000095</c:v>
                </c:pt>
                <c:pt idx="74">
                  <c:v>62.440000000000097</c:v>
                </c:pt>
                <c:pt idx="75">
                  <c:v>63.000000000000099</c:v>
                </c:pt>
                <c:pt idx="76">
                  <c:v>63.560000000000102</c:v>
                </c:pt>
                <c:pt idx="77">
                  <c:v>64.120000000000104</c:v>
                </c:pt>
                <c:pt idx="78">
                  <c:v>64.680000000000106</c:v>
                </c:pt>
                <c:pt idx="79">
                  <c:v>65.240000000000109</c:v>
                </c:pt>
                <c:pt idx="80">
                  <c:v>65.800000000000111</c:v>
                </c:pt>
                <c:pt idx="81">
                  <c:v>66.360000000000113</c:v>
                </c:pt>
                <c:pt idx="82">
                  <c:v>66.920000000000115</c:v>
                </c:pt>
                <c:pt idx="83">
                  <c:v>67.480000000000118</c:v>
                </c:pt>
                <c:pt idx="84">
                  <c:v>68.04000000000012</c:v>
                </c:pt>
                <c:pt idx="85">
                  <c:v>68.600000000000122</c:v>
                </c:pt>
                <c:pt idx="86">
                  <c:v>69.160000000000124</c:v>
                </c:pt>
                <c:pt idx="87">
                  <c:v>69.720000000000127</c:v>
                </c:pt>
                <c:pt idx="88">
                  <c:v>70.280000000000129</c:v>
                </c:pt>
                <c:pt idx="89">
                  <c:v>70.840000000000131</c:v>
                </c:pt>
                <c:pt idx="90">
                  <c:v>71.400000000000134</c:v>
                </c:pt>
                <c:pt idx="91">
                  <c:v>71.960000000000136</c:v>
                </c:pt>
                <c:pt idx="92">
                  <c:v>72.520000000000138</c:v>
                </c:pt>
                <c:pt idx="93">
                  <c:v>73.08000000000014</c:v>
                </c:pt>
                <c:pt idx="94">
                  <c:v>73.640000000000143</c:v>
                </c:pt>
                <c:pt idx="95">
                  <c:v>74.200000000000145</c:v>
                </c:pt>
                <c:pt idx="96">
                  <c:v>74.760000000000147</c:v>
                </c:pt>
                <c:pt idx="97">
                  <c:v>75.320000000000149</c:v>
                </c:pt>
                <c:pt idx="98">
                  <c:v>75.880000000000152</c:v>
                </c:pt>
                <c:pt idx="99">
                  <c:v>76.440000000000154</c:v>
                </c:pt>
                <c:pt idx="100">
                  <c:v>77.000000000000156</c:v>
                </c:pt>
              </c:numCache>
            </c:numRef>
          </c:xVal>
          <c:yVal>
            <c:numRef>
              <c:f>Corrección!$J$732:$J$832</c:f>
              <c:numCache>
                <c:formatCode>0.0000</c:formatCode>
                <c:ptCount val="101"/>
                <c:pt idx="0">
                  <c:v>-0.45000000000000062</c:v>
                </c:pt>
                <c:pt idx="1">
                  <c:v>-0.4150000000000007</c:v>
                </c:pt>
                <c:pt idx="2">
                  <c:v>-0.38000000000000078</c:v>
                </c:pt>
                <c:pt idx="3">
                  <c:v>-0.34500000000000086</c:v>
                </c:pt>
                <c:pt idx="4">
                  <c:v>-0.31000000000000094</c:v>
                </c:pt>
                <c:pt idx="5">
                  <c:v>-0.27500000000000102</c:v>
                </c:pt>
                <c:pt idx="6">
                  <c:v>-0.24000000000000088</c:v>
                </c:pt>
                <c:pt idx="7">
                  <c:v>-0.20500000000000096</c:v>
                </c:pt>
                <c:pt idx="8">
                  <c:v>-0.17000000000000104</c:v>
                </c:pt>
                <c:pt idx="9">
                  <c:v>-0.13500000000000112</c:v>
                </c:pt>
                <c:pt idx="10">
                  <c:v>-0.1000000000000012</c:v>
                </c:pt>
                <c:pt idx="11">
                  <c:v>-6.5000000000001279E-2</c:v>
                </c:pt>
                <c:pt idx="12">
                  <c:v>-3.0000000000001359E-2</c:v>
                </c:pt>
                <c:pt idx="13">
                  <c:v>4.9999999999985612E-3</c:v>
                </c:pt>
                <c:pt idx="14">
                  <c:v>3.9999999999998481E-2</c:v>
                </c:pt>
                <c:pt idx="15">
                  <c:v>7.4999999999998401E-2</c:v>
                </c:pt>
                <c:pt idx="16">
                  <c:v>0.10999999999999832</c:v>
                </c:pt>
                <c:pt idx="17">
                  <c:v>0.14499999999999824</c:v>
                </c:pt>
                <c:pt idx="18">
                  <c:v>0.17999999999999816</c:v>
                </c:pt>
                <c:pt idx="19">
                  <c:v>0.21499999999999808</c:v>
                </c:pt>
                <c:pt idx="20">
                  <c:v>0.249999999999998</c:v>
                </c:pt>
                <c:pt idx="21">
                  <c:v>0.28499999999999814</c:v>
                </c:pt>
                <c:pt idx="22">
                  <c:v>0.31999999999999829</c:v>
                </c:pt>
                <c:pt idx="23">
                  <c:v>0.35499999999999843</c:v>
                </c:pt>
                <c:pt idx="24">
                  <c:v>0.38999999999999857</c:v>
                </c:pt>
                <c:pt idx="25">
                  <c:v>0.42499999999999871</c:v>
                </c:pt>
                <c:pt idx="26">
                  <c:v>0.45999999999999885</c:v>
                </c:pt>
                <c:pt idx="27">
                  <c:v>0.494999999999999</c:v>
                </c:pt>
                <c:pt idx="28">
                  <c:v>0.52999999999999914</c:v>
                </c:pt>
                <c:pt idx="29">
                  <c:v>0.56499999999999928</c:v>
                </c:pt>
                <c:pt idx="30">
                  <c:v>0.59999999999999942</c:v>
                </c:pt>
                <c:pt idx="31">
                  <c:v>0.63499999999999956</c:v>
                </c:pt>
                <c:pt idx="32">
                  <c:v>0.66999999999999971</c:v>
                </c:pt>
                <c:pt idx="33">
                  <c:v>0.70499999999999985</c:v>
                </c:pt>
                <c:pt idx="34">
                  <c:v>0.74</c:v>
                </c:pt>
                <c:pt idx="35">
                  <c:v>0.77500000000000013</c:v>
                </c:pt>
                <c:pt idx="36">
                  <c:v>0.81000000000000028</c:v>
                </c:pt>
                <c:pt idx="37">
                  <c:v>0.84500000000000042</c:v>
                </c:pt>
                <c:pt idx="38">
                  <c:v>0.88000000000000056</c:v>
                </c:pt>
                <c:pt idx="39">
                  <c:v>0.9150000000000007</c:v>
                </c:pt>
                <c:pt idx="40">
                  <c:v>0.95000000000000084</c:v>
                </c:pt>
                <c:pt idx="41">
                  <c:v>0.98500000000000099</c:v>
                </c:pt>
                <c:pt idx="42">
                  <c:v>1.0200000000000011</c:v>
                </c:pt>
                <c:pt idx="43">
                  <c:v>1.0550000000000013</c:v>
                </c:pt>
                <c:pt idx="44">
                  <c:v>1.0900000000000014</c:v>
                </c:pt>
                <c:pt idx="45">
                  <c:v>1.1250000000000016</c:v>
                </c:pt>
                <c:pt idx="46">
                  <c:v>1.1600000000000017</c:v>
                </c:pt>
                <c:pt idx="47">
                  <c:v>1.1950000000000018</c:v>
                </c:pt>
                <c:pt idx="48">
                  <c:v>1.230000000000002</c:v>
                </c:pt>
                <c:pt idx="49">
                  <c:v>1.2650000000000026</c:v>
                </c:pt>
                <c:pt idx="50">
                  <c:v>1.3000000000000027</c:v>
                </c:pt>
                <c:pt idx="51">
                  <c:v>1.3350000000000029</c:v>
                </c:pt>
                <c:pt idx="52">
                  <c:v>1.370000000000003</c:v>
                </c:pt>
                <c:pt idx="53">
                  <c:v>1.4050000000000031</c:v>
                </c:pt>
                <c:pt idx="54">
                  <c:v>1.4400000000000033</c:v>
                </c:pt>
                <c:pt idx="55">
                  <c:v>1.4750000000000034</c:v>
                </c:pt>
                <c:pt idx="56">
                  <c:v>1.5100000000000036</c:v>
                </c:pt>
                <c:pt idx="57">
                  <c:v>1.5450000000000037</c:v>
                </c:pt>
                <c:pt idx="58">
                  <c:v>1.5800000000000038</c:v>
                </c:pt>
                <c:pt idx="59">
                  <c:v>1.615000000000004</c:v>
                </c:pt>
                <c:pt idx="60">
                  <c:v>1.6500000000000041</c:v>
                </c:pt>
                <c:pt idx="61">
                  <c:v>1.6850000000000043</c:v>
                </c:pt>
                <c:pt idx="62">
                  <c:v>1.7200000000000044</c:v>
                </c:pt>
                <c:pt idx="63">
                  <c:v>1.7550000000000046</c:v>
                </c:pt>
                <c:pt idx="64">
                  <c:v>1.7900000000000047</c:v>
                </c:pt>
                <c:pt idx="65">
                  <c:v>1.8250000000000048</c:v>
                </c:pt>
                <c:pt idx="66">
                  <c:v>1.860000000000005</c:v>
                </c:pt>
                <c:pt idx="67">
                  <c:v>1.8950000000000051</c:v>
                </c:pt>
                <c:pt idx="68">
                  <c:v>1.9300000000000053</c:v>
                </c:pt>
                <c:pt idx="69">
                  <c:v>1.9650000000000054</c:v>
                </c:pt>
                <c:pt idx="70">
                  <c:v>2.0000000000000053</c:v>
                </c:pt>
                <c:pt idx="71">
                  <c:v>2.0350000000000055</c:v>
                </c:pt>
                <c:pt idx="72">
                  <c:v>2.0700000000000056</c:v>
                </c:pt>
                <c:pt idx="73">
                  <c:v>2.1050000000000058</c:v>
                </c:pt>
                <c:pt idx="74">
                  <c:v>2.1400000000000059</c:v>
                </c:pt>
                <c:pt idx="75">
                  <c:v>2.175000000000006</c:v>
                </c:pt>
                <c:pt idx="76">
                  <c:v>2.2100000000000062</c:v>
                </c:pt>
                <c:pt idx="77">
                  <c:v>2.2450000000000063</c:v>
                </c:pt>
                <c:pt idx="78">
                  <c:v>2.2800000000000065</c:v>
                </c:pt>
                <c:pt idx="79">
                  <c:v>2.3150000000000066</c:v>
                </c:pt>
                <c:pt idx="80">
                  <c:v>2.3500000000000068</c:v>
                </c:pt>
                <c:pt idx="81">
                  <c:v>2.3850000000000069</c:v>
                </c:pt>
                <c:pt idx="82">
                  <c:v>2.420000000000007</c:v>
                </c:pt>
                <c:pt idx="83">
                  <c:v>2.4550000000000072</c:v>
                </c:pt>
                <c:pt idx="84">
                  <c:v>2.4900000000000073</c:v>
                </c:pt>
                <c:pt idx="85">
                  <c:v>2.5250000000000075</c:v>
                </c:pt>
                <c:pt idx="86">
                  <c:v>2.5600000000000076</c:v>
                </c:pt>
                <c:pt idx="87">
                  <c:v>2.5950000000000077</c:v>
                </c:pt>
                <c:pt idx="88">
                  <c:v>2.6300000000000079</c:v>
                </c:pt>
                <c:pt idx="89">
                  <c:v>2.665000000000008</c:v>
                </c:pt>
                <c:pt idx="90">
                  <c:v>2.7000000000000082</c:v>
                </c:pt>
                <c:pt idx="91">
                  <c:v>2.7350000000000083</c:v>
                </c:pt>
                <c:pt idx="92">
                  <c:v>2.7700000000000085</c:v>
                </c:pt>
                <c:pt idx="93">
                  <c:v>2.8050000000000086</c:v>
                </c:pt>
                <c:pt idx="94">
                  <c:v>2.8400000000000087</c:v>
                </c:pt>
                <c:pt idx="95">
                  <c:v>2.8750000000000089</c:v>
                </c:pt>
                <c:pt idx="96">
                  <c:v>2.910000000000009</c:v>
                </c:pt>
                <c:pt idx="97">
                  <c:v>2.9450000000000092</c:v>
                </c:pt>
                <c:pt idx="98">
                  <c:v>2.9800000000000093</c:v>
                </c:pt>
                <c:pt idx="99">
                  <c:v>3.0150000000000095</c:v>
                </c:pt>
                <c:pt idx="100">
                  <c:v>3.0500000000000096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E0-4C9E-A8E3-EFC4A40E591B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Corrección!$L$460:$L$462</c:f>
                <c:numCache>
                  <c:formatCode>General</c:formatCode>
                  <c:ptCount val="3"/>
                  <c:pt idx="0">
                    <c:v>1.9</c:v>
                  </c:pt>
                  <c:pt idx="1">
                    <c:v>2</c:v>
                  </c:pt>
                  <c:pt idx="2">
                    <c:v>2</c:v>
                  </c:pt>
                </c:numCache>
              </c:numRef>
            </c:plus>
            <c:minus>
              <c:numRef>
                <c:f>Corrección!$L$460:$L$462</c:f>
                <c:numCache>
                  <c:formatCode>General</c:formatCode>
                  <c:ptCount val="3"/>
                  <c:pt idx="0">
                    <c:v>1.9</c:v>
                  </c:pt>
                  <c:pt idx="1">
                    <c:v>2</c:v>
                  </c:pt>
                  <c:pt idx="2">
                    <c:v>2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Corrección!$J$460:$J$462</c:f>
              <c:numCache>
                <c:formatCode>General</c:formatCode>
                <c:ptCount val="3"/>
                <c:pt idx="0">
                  <c:v>21</c:v>
                </c:pt>
                <c:pt idx="1">
                  <c:v>49</c:v>
                </c:pt>
                <c:pt idx="2">
                  <c:v>77</c:v>
                </c:pt>
              </c:numCache>
            </c:numRef>
          </c:xVal>
          <c:yVal>
            <c:numRef>
              <c:f>Corrección!$K$460:$K$462</c:f>
              <c:numCache>
                <c:formatCode>General</c:formatCode>
                <c:ptCount val="3"/>
                <c:pt idx="0">
                  <c:v>-0.5</c:v>
                </c:pt>
                <c:pt idx="1">
                  <c:v>1.4</c:v>
                </c:pt>
                <c:pt idx="2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E0-4C9E-A8E3-EFC4A40E591B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Corrección!$L$474:$L$475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Corrección!$M$474:$M$475</c:f>
              <c:numCache>
                <c:formatCode>0.0000</c:formatCode>
                <c:ptCount val="2"/>
                <c:pt idx="0">
                  <c:v>-1.7625000000000008</c:v>
                </c:pt>
                <c:pt idx="1">
                  <c:v>-1.7625000000000008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5E0-4C9E-A8E3-EFC4A40E5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[%hr]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[%hr]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kumimoji="0" lang="en-US" sz="1800" b="0" i="0" u="none" strike="noStrike" kern="1200" cap="none" spc="0" normalizeH="0" baseline="0" noProof="0">
                <a:ln>
                  <a:noFill/>
                </a:ln>
                <a:solidFill>
                  <a:schemeClr val="tx1"/>
                </a:solidFill>
                <a:effectLst/>
                <a:uLnTx/>
                <a:uFillTx/>
                <a:latin typeface="Calibri" panose="020F0502020204030204"/>
              </a:rPr>
              <a:t>Contribuciones cuadráticas relativas a la incertidumbre del mensurando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Incertidumbre!$B$90:$G$104</c:f>
              <c:strCache>
                <c:ptCount val="15"/>
                <c:pt idx="0">
                  <c:v>Presión de referencia. Por resolución del instrumento</c:v>
                </c:pt>
                <c:pt idx="1">
                  <c:v>Presión de referencia. Corrección a la indicación. Por última calibración</c:v>
                </c:pt>
                <c:pt idx="2">
                  <c:v>Presión de referencia. Corrección a la indicación. Por deriva</c:v>
                </c:pt>
                <c:pt idx="3">
                  <c:v>Presión de referencia. Corrección a la indicación. Por ajuste de regresión</c:v>
                </c:pt>
                <c:pt idx="4">
                  <c:v>Presión de referencia. Por histéresis</c:v>
                </c:pt>
                <c:pt idx="5">
                  <c:v>Características del IBC. Indicación. Por resolución del instrumento</c:v>
                </c:pt>
                <c:pt idx="6">
                  <c:v>Características del IBC. Indicación. Por efectos térmicos en el IBC</c:v>
                </c:pt>
                <c:pt idx="7">
                  <c:v>Características del IBC. Por histéresis</c:v>
                </c:pt>
                <c:pt idx="8">
                  <c:v>Diferencia en el nivel de referencia. Por densidad del aire</c:v>
                </c:pt>
                <c:pt idx="9">
                  <c:v>Diferencia en el nivel de referencia. Por densidad del medio</c:v>
                </c:pt>
                <c:pt idx="10">
                  <c:v>Diferencia en el nivel de referencia. Por aceleración local de la gravedad</c:v>
                </c:pt>
                <c:pt idx="11">
                  <c:v>Diferencia en el nivel de referencia. Cintas métricas. Por resolución</c:v>
                </c:pt>
                <c:pt idx="12">
                  <c:v>Diferencia en el nivel de referencia. Cintas métricas. Por última calibración</c:v>
                </c:pt>
                <c:pt idx="13">
                  <c:v>Diferencia en el nivel de referencia. Cintas métricas. Por deriva</c:v>
                </c:pt>
                <c:pt idx="14">
                  <c:v>Por repetibilidad de las mediciones</c:v>
                </c:pt>
              </c:strCache>
            </c:strRef>
          </c:cat>
          <c:val>
            <c:numRef>
              <c:f>Incertidumbre!$D$114:$D$128</c:f>
              <c:numCache>
                <c:formatCode>0.00%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90-4BA4-A51B-3A349AB72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30758008"/>
        <c:axId val="577877024"/>
      </c:barChart>
      <c:catAx>
        <c:axId val="630758008"/>
        <c:scaling>
          <c:orientation val="maxMin"/>
        </c:scaling>
        <c:delete val="0"/>
        <c:axPos val="l"/>
        <c:maj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7877024"/>
        <c:crosses val="autoZero"/>
        <c:auto val="1"/>
        <c:lblAlgn val="ctr"/>
        <c:lblOffset val="100"/>
        <c:noMultiLvlLbl val="0"/>
      </c:catAx>
      <c:valAx>
        <c:axId val="577877024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0758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Histéresis de las correcciones promedio por tipo de prueba y por serie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1.9626349989666485E-2"/>
          <c:y val="1.66250995542378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'Toma de datos'!$D$162</c:f>
              <c:strCache>
                <c:ptCount val="1"/>
                <c:pt idx="0">
                  <c:v>Ascenso, serie 1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datos'!$D$163:$D$172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3-4645-9AFC-029F8E4C83A7}"/>
            </c:ext>
          </c:extLst>
        </c:ser>
        <c:ser>
          <c:idx val="1"/>
          <c:order val="1"/>
          <c:tx>
            <c:strRef>
              <c:f>'Toma de datos'!$E$162</c:f>
              <c:strCache>
                <c:ptCount val="1"/>
                <c:pt idx="0">
                  <c:v>Descenso, serie 1</c:v>
                </c:pt>
              </c:strCache>
            </c:strRef>
          </c:tx>
          <c:spPr>
            <a:ln w="127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datos'!$E$163:$E$172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B3-4645-9AFC-029F8E4C83A7}"/>
            </c:ext>
          </c:extLst>
        </c:ser>
        <c:ser>
          <c:idx val="2"/>
          <c:order val="2"/>
          <c:tx>
            <c:strRef>
              <c:f>'Toma de datos'!$F$162</c:f>
              <c:strCache>
                <c:ptCount val="1"/>
                <c:pt idx="0">
                  <c:v>Ascenso, serie 2</c:v>
                </c:pt>
              </c:strCache>
            </c:strRef>
          </c:tx>
          <c:spPr>
            <a:ln w="15875" cap="rnd">
              <a:solidFill>
                <a:srgbClr val="00B050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datos'!$F$163:$F$172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3-4645-9AFC-029F8E4C83A7}"/>
            </c:ext>
          </c:extLst>
        </c:ser>
        <c:ser>
          <c:idx val="3"/>
          <c:order val="3"/>
          <c:tx>
            <c:strRef>
              <c:f>'Toma de datos'!$G$162</c:f>
              <c:strCache>
                <c:ptCount val="1"/>
                <c:pt idx="0">
                  <c:v>Descenso, serie 2</c:v>
                </c:pt>
              </c:strCache>
            </c:strRef>
          </c:tx>
          <c:spPr>
            <a:ln w="15875" cap="rnd">
              <a:solidFill>
                <a:srgbClr val="7030A0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datos'!$G$163:$G$172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DB3-4645-9AFC-029F8E4C83A7}"/>
            </c:ext>
          </c:extLst>
        </c:ser>
        <c:ser>
          <c:idx val="4"/>
          <c:order val="4"/>
          <c:tx>
            <c:strRef>
              <c:f>'Toma de datos'!$H$162</c:f>
              <c:strCache>
                <c:ptCount val="1"/>
                <c:pt idx="0">
                  <c:v>Ascenso, serie 3</c:v>
                </c:pt>
              </c:strCache>
            </c:strRef>
          </c:tx>
          <c:spPr>
            <a:ln w="44450" cap="rnd" cmpd="tri">
              <a:solidFill>
                <a:srgbClr val="00B05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datos'!$H$163:$H$172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DB3-4645-9AFC-029F8E4C83A7}"/>
            </c:ext>
          </c:extLst>
        </c:ser>
        <c:ser>
          <c:idx val="5"/>
          <c:order val="5"/>
          <c:tx>
            <c:strRef>
              <c:f>'Toma de datos'!$I$162</c:f>
              <c:strCache>
                <c:ptCount val="1"/>
                <c:pt idx="0">
                  <c:v>Descenso, serie 3</c:v>
                </c:pt>
              </c:strCache>
            </c:strRef>
          </c:tx>
          <c:spPr>
            <a:ln w="44450" cap="rnd" cmpd="tri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'Toma de datos'!$C$163:$C$172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datos'!$I$163:$I$172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DB3-4645-9AFC-029F8E4C8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9741776"/>
        <c:axId val="599736528"/>
      </c:scatterChart>
      <c:valAx>
        <c:axId val="599741776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rgbClr val="002060"/>
                    </a:solidFill>
                  </a:rPr>
                  <a:t>Indicación promedio del IBC, [en unidades del cliente]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out"/>
        <c:tickLblPos val="high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9736528"/>
        <c:crosses val="max"/>
        <c:crossBetween val="midCat"/>
      </c:valAx>
      <c:valAx>
        <c:axId val="59973652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0" i="0" baseline="0">
                    <a:solidFill>
                      <a:srgbClr val="002060"/>
                    </a:solidFill>
                    <a:effectLst/>
                  </a:rPr>
                  <a:t>Corrección promedio a la indicación del IBC,</a:t>
                </a:r>
                <a:endParaRPr lang="en-US" sz="1200">
                  <a:solidFill>
                    <a:srgbClr val="002060"/>
                  </a:solidFill>
                  <a:effectLst/>
                </a:endParaRPr>
              </a:p>
              <a:p>
                <a:pPr>
                  <a:defRPr sz="1200">
                    <a:solidFill>
                      <a:srgbClr val="002060"/>
                    </a:solidFill>
                  </a:defRPr>
                </a:pPr>
                <a:r>
                  <a:rPr lang="en-US" sz="1200" b="0" i="0" baseline="0">
                    <a:solidFill>
                      <a:srgbClr val="002060"/>
                    </a:solidFill>
                    <a:effectLst/>
                  </a:rPr>
                  <a:t>[en unidades del cliente]</a:t>
                </a:r>
                <a:endParaRPr lang="en-US" sz="1200">
                  <a:solidFill>
                    <a:srgbClr val="00206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cross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9741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2.8023337847321228E-3"/>
          <c:y val="0.12332498849333662"/>
          <c:w val="0.89999995870723071"/>
          <c:h val="5.41396901390205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chemeClr val="bg1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8CC00B75-7D4A-46CC-9B87-034006847D42}" type="CELLRANGE">
                      <a:rPr lang="en-US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C28-4B36-AD4A-5327BBD0DF0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14A0EA8-C4D9-4719-BF15-21ACFD6851F2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C28-4B36-AD4A-5327BBD0DF0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7F75D3B-2B99-40F0-94C1-F7B53DF3D9AB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C28-4B36-AD4A-5327BBD0DF0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197E8F3-92EC-4C9D-94B9-2D8B1D3C219C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C28-4B36-AD4A-5327BBD0DF0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829E005-7D90-48C0-8BA7-2305B451F942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1C28-4B36-AD4A-5327BBD0DF0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DAB6672-9C3C-4E17-9E61-BE97DF0EF19B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C28-4B36-AD4A-5327BBD0DF0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3434802-434A-49C1-BEC7-4388FF9AA93D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1C28-4B36-AD4A-5327BBD0DF0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F6EB83A-3F2D-40E2-98F8-1080D3FE812D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1C28-4B36-AD4A-5327BBD0DF08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1BB8070-3EBE-4C38-8D39-8F386F782BAB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1C28-4B36-AD4A-5327BBD0DF08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779283A-7790-46E6-A6D4-4A2FCFA038ED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1C28-4B36-AD4A-5327BBD0DF08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'Toma de datos'!$F$92:$F$101</c:f>
                <c:numCache>
                  <c:formatCode>General</c:formatCode>
                  <c:ptCount val="10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</c:numCache>
              </c:numRef>
            </c:plus>
            <c:minus>
              <c:numRef>
                <c:f>'Toma de datos'!$F$92:$F$101</c:f>
                <c:numCache>
                  <c:formatCode>General</c:formatCode>
                  <c:ptCount val="10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002060"/>
                </a:solidFill>
                <a:round/>
              </a:ln>
              <a:effectLst/>
            </c:spPr>
          </c:errBars>
          <c:xVal>
            <c:numRef>
              <c:f>'Toma de datos'!$D$111:$D$120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'Toma de datos'!$E$111:$E$120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'Toma de datos'!$C$111:$C$120</c15:f>
                <c15:dlblRangeCache>
                  <c:ptCount val="10"/>
                </c15:dlblRangeCache>
              </c15:datalabelsRange>
            </c:ext>
            <c:ext xmlns:c16="http://schemas.microsoft.com/office/drawing/2014/chart" uri="{C3380CC4-5D6E-409C-BE32-E72D297353CC}">
              <c16:uniqueId val="{0000000A-1C28-4B36-AD4A-5327BBD0DF08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496844048"/>
        <c:axId val="496847000"/>
      </c:scatterChart>
      <c:valAx>
        <c:axId val="496844048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accent3"/>
              </a:solidFill>
              <a:prstDash val="solid"/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prstDash val="solid"/>
              <a:round/>
            </a:ln>
            <a:effectLst/>
          </c:spPr>
        </c:minorGridlines>
        <c:numFmt formatCode="General" sourceLinked="0"/>
        <c:majorTickMark val="out"/>
        <c:minorTickMark val="cross"/>
        <c:tickLblPos val="high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6847000"/>
        <c:crosses val="max"/>
        <c:crossBetween val="midCat"/>
      </c:valAx>
      <c:valAx>
        <c:axId val="49684700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prstDash val="solid"/>
              <a:round/>
            </a:ln>
            <a:effectLst/>
          </c:spPr>
        </c:majorGridlines>
        <c:minorGridlines>
          <c:spPr>
            <a:ln w="6350" cap="flat" cmpd="sng" algn="ctr">
              <a:solidFill>
                <a:schemeClr val="bg2"/>
              </a:solidFill>
              <a:prstDash val="solid"/>
              <a:round/>
            </a:ln>
            <a:effectLst/>
          </c:spPr>
        </c:minorGridlines>
        <c:numFmt formatCode="General" sourceLinked="0"/>
        <c:majorTickMark val="out"/>
        <c:minorTickMark val="cross"/>
        <c:tickLblPos val="low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6844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Corrección!$C$626:$C$726</c:f>
              <c:numCache>
                <c:formatCode>0.0000</c:formatCode>
                <c:ptCount val="101"/>
                <c:pt idx="0">
                  <c:v>-10</c:v>
                </c:pt>
                <c:pt idx="1">
                  <c:v>-9.75</c:v>
                </c:pt>
                <c:pt idx="2">
                  <c:v>-9.5</c:v>
                </c:pt>
                <c:pt idx="3">
                  <c:v>-9.25</c:v>
                </c:pt>
                <c:pt idx="4">
                  <c:v>-9</c:v>
                </c:pt>
                <c:pt idx="5">
                  <c:v>-8.75</c:v>
                </c:pt>
                <c:pt idx="6">
                  <c:v>-8.5</c:v>
                </c:pt>
                <c:pt idx="7">
                  <c:v>-8.25</c:v>
                </c:pt>
                <c:pt idx="8">
                  <c:v>-8</c:v>
                </c:pt>
                <c:pt idx="9">
                  <c:v>-7.75</c:v>
                </c:pt>
                <c:pt idx="10">
                  <c:v>-7.5</c:v>
                </c:pt>
                <c:pt idx="11">
                  <c:v>-7.25</c:v>
                </c:pt>
                <c:pt idx="12">
                  <c:v>-7</c:v>
                </c:pt>
                <c:pt idx="13">
                  <c:v>-6.75</c:v>
                </c:pt>
                <c:pt idx="14">
                  <c:v>-6.5</c:v>
                </c:pt>
                <c:pt idx="15">
                  <c:v>-6.25</c:v>
                </c:pt>
                <c:pt idx="16">
                  <c:v>-6</c:v>
                </c:pt>
                <c:pt idx="17">
                  <c:v>-5.75</c:v>
                </c:pt>
                <c:pt idx="18">
                  <c:v>-5.5</c:v>
                </c:pt>
                <c:pt idx="19">
                  <c:v>-5.25</c:v>
                </c:pt>
                <c:pt idx="20">
                  <c:v>-5</c:v>
                </c:pt>
                <c:pt idx="21">
                  <c:v>-4.75</c:v>
                </c:pt>
                <c:pt idx="22">
                  <c:v>-4.5</c:v>
                </c:pt>
                <c:pt idx="23">
                  <c:v>-4.25</c:v>
                </c:pt>
                <c:pt idx="24">
                  <c:v>-4</c:v>
                </c:pt>
                <c:pt idx="25">
                  <c:v>-3.75</c:v>
                </c:pt>
                <c:pt idx="26">
                  <c:v>-3.5</c:v>
                </c:pt>
                <c:pt idx="27">
                  <c:v>-3.25</c:v>
                </c:pt>
                <c:pt idx="28">
                  <c:v>-3</c:v>
                </c:pt>
                <c:pt idx="29">
                  <c:v>-2.75</c:v>
                </c:pt>
                <c:pt idx="30">
                  <c:v>-2.5</c:v>
                </c:pt>
                <c:pt idx="31">
                  <c:v>-2.25</c:v>
                </c:pt>
                <c:pt idx="32">
                  <c:v>-2</c:v>
                </c:pt>
                <c:pt idx="33">
                  <c:v>-1.75</c:v>
                </c:pt>
                <c:pt idx="34">
                  <c:v>-1.5</c:v>
                </c:pt>
                <c:pt idx="35">
                  <c:v>-1.25</c:v>
                </c:pt>
                <c:pt idx="36">
                  <c:v>-1</c:v>
                </c:pt>
                <c:pt idx="37">
                  <c:v>-0.75</c:v>
                </c:pt>
                <c:pt idx="38">
                  <c:v>-0.5</c:v>
                </c:pt>
                <c:pt idx="39">
                  <c:v>-0.25</c:v>
                </c:pt>
                <c:pt idx="40">
                  <c:v>0</c:v>
                </c:pt>
                <c:pt idx="41">
                  <c:v>0.25</c:v>
                </c:pt>
                <c:pt idx="42">
                  <c:v>0.5</c:v>
                </c:pt>
                <c:pt idx="43">
                  <c:v>0.75</c:v>
                </c:pt>
                <c:pt idx="44">
                  <c:v>1</c:v>
                </c:pt>
                <c:pt idx="45">
                  <c:v>1.25</c:v>
                </c:pt>
                <c:pt idx="46">
                  <c:v>1.5</c:v>
                </c:pt>
                <c:pt idx="47">
                  <c:v>1.75</c:v>
                </c:pt>
                <c:pt idx="48">
                  <c:v>2</c:v>
                </c:pt>
                <c:pt idx="49">
                  <c:v>2.25</c:v>
                </c:pt>
                <c:pt idx="50">
                  <c:v>2.5</c:v>
                </c:pt>
                <c:pt idx="51">
                  <c:v>2.75</c:v>
                </c:pt>
                <c:pt idx="52">
                  <c:v>3</c:v>
                </c:pt>
                <c:pt idx="53">
                  <c:v>3.25</c:v>
                </c:pt>
                <c:pt idx="54">
                  <c:v>3.5</c:v>
                </c:pt>
                <c:pt idx="55">
                  <c:v>3.75</c:v>
                </c:pt>
                <c:pt idx="56">
                  <c:v>4</c:v>
                </c:pt>
                <c:pt idx="57">
                  <c:v>4.25</c:v>
                </c:pt>
                <c:pt idx="58">
                  <c:v>4.5</c:v>
                </c:pt>
                <c:pt idx="59">
                  <c:v>4.75</c:v>
                </c:pt>
                <c:pt idx="60">
                  <c:v>5</c:v>
                </c:pt>
                <c:pt idx="61">
                  <c:v>5.25</c:v>
                </c:pt>
                <c:pt idx="62">
                  <c:v>5.5</c:v>
                </c:pt>
                <c:pt idx="63">
                  <c:v>5.75</c:v>
                </c:pt>
                <c:pt idx="64">
                  <c:v>6</c:v>
                </c:pt>
                <c:pt idx="65">
                  <c:v>6.25</c:v>
                </c:pt>
                <c:pt idx="66">
                  <c:v>6.5</c:v>
                </c:pt>
                <c:pt idx="67">
                  <c:v>6.75</c:v>
                </c:pt>
                <c:pt idx="68">
                  <c:v>7</c:v>
                </c:pt>
                <c:pt idx="69">
                  <c:v>7.25</c:v>
                </c:pt>
                <c:pt idx="70">
                  <c:v>7.5</c:v>
                </c:pt>
                <c:pt idx="71">
                  <c:v>7.75</c:v>
                </c:pt>
                <c:pt idx="72">
                  <c:v>8</c:v>
                </c:pt>
                <c:pt idx="73">
                  <c:v>8.25</c:v>
                </c:pt>
                <c:pt idx="74">
                  <c:v>8.5</c:v>
                </c:pt>
                <c:pt idx="75">
                  <c:v>8.75</c:v>
                </c:pt>
                <c:pt idx="76">
                  <c:v>9</c:v>
                </c:pt>
                <c:pt idx="77">
                  <c:v>9.25</c:v>
                </c:pt>
                <c:pt idx="78">
                  <c:v>9.5</c:v>
                </c:pt>
                <c:pt idx="79">
                  <c:v>9.75</c:v>
                </c:pt>
                <c:pt idx="80">
                  <c:v>10</c:v>
                </c:pt>
                <c:pt idx="81">
                  <c:v>10.25</c:v>
                </c:pt>
                <c:pt idx="82">
                  <c:v>10.5</c:v>
                </c:pt>
                <c:pt idx="83">
                  <c:v>10.75</c:v>
                </c:pt>
                <c:pt idx="84">
                  <c:v>11</c:v>
                </c:pt>
                <c:pt idx="85">
                  <c:v>11.25</c:v>
                </c:pt>
                <c:pt idx="86">
                  <c:v>11.5</c:v>
                </c:pt>
                <c:pt idx="87">
                  <c:v>11.75</c:v>
                </c:pt>
                <c:pt idx="88">
                  <c:v>12</c:v>
                </c:pt>
                <c:pt idx="89">
                  <c:v>12.25</c:v>
                </c:pt>
                <c:pt idx="90">
                  <c:v>12.5</c:v>
                </c:pt>
                <c:pt idx="91">
                  <c:v>12.75</c:v>
                </c:pt>
                <c:pt idx="92">
                  <c:v>13</c:v>
                </c:pt>
                <c:pt idx="93">
                  <c:v>13.25</c:v>
                </c:pt>
                <c:pt idx="94">
                  <c:v>13.5</c:v>
                </c:pt>
                <c:pt idx="95">
                  <c:v>13.75</c:v>
                </c:pt>
                <c:pt idx="96">
                  <c:v>14</c:v>
                </c:pt>
                <c:pt idx="97">
                  <c:v>14.25</c:v>
                </c:pt>
                <c:pt idx="98">
                  <c:v>14.5</c:v>
                </c:pt>
                <c:pt idx="99">
                  <c:v>14.75</c:v>
                </c:pt>
                <c:pt idx="100">
                  <c:v>15</c:v>
                </c:pt>
              </c:numCache>
            </c:numRef>
          </c:xVal>
          <c:yVal>
            <c:numRef>
              <c:f>Corrección!$D$626:$D$726</c:f>
              <c:numCache>
                <c:formatCode>0.0000</c:formatCode>
                <c:ptCount val="101"/>
                <c:pt idx="0">
                  <c:v>1.409524202469716E-4</c:v>
                </c:pt>
                <c:pt idx="1">
                  <c:v>1.5314623276970886E-4</c:v>
                </c:pt>
                <c:pt idx="2">
                  <c:v>1.6511229036253716E-4</c:v>
                </c:pt>
                <c:pt idx="3">
                  <c:v>1.7684616611526123E-4</c:v>
                </c:pt>
                <c:pt idx="4">
                  <c:v>1.8834343311768578E-4</c:v>
                </c:pt>
                <c:pt idx="5">
                  <c:v>1.9959966445961543E-4</c:v>
                </c:pt>
                <c:pt idx="6">
                  <c:v>2.1061043323085507E-4</c:v>
                </c:pt>
                <c:pt idx="7">
                  <c:v>2.2137131252120937E-4</c:v>
                </c:pt>
                <c:pt idx="8">
                  <c:v>2.3187787542048303E-4</c:v>
                </c:pt>
                <c:pt idx="9">
                  <c:v>2.4212569501848072E-4</c:v>
                </c:pt>
                <c:pt idx="10">
                  <c:v>2.5211034440500728E-4</c:v>
                </c:pt>
                <c:pt idx="11">
                  <c:v>2.6182739666986743E-4</c:v>
                </c:pt>
                <c:pt idx="12">
                  <c:v>2.7127242490286574E-4</c:v>
                </c:pt>
                <c:pt idx="13">
                  <c:v>2.8044100219380718E-4</c:v>
                </c:pt>
                <c:pt idx="14">
                  <c:v>2.8932870163249629E-4</c:v>
                </c:pt>
                <c:pt idx="15">
                  <c:v>2.9793109630873787E-4</c:v>
                </c:pt>
                <c:pt idx="16">
                  <c:v>3.0624375931233668E-4</c:v>
                </c:pt>
                <c:pt idx="17">
                  <c:v>3.1426226373309737E-4</c:v>
                </c:pt>
                <c:pt idx="18">
                  <c:v>3.2198218266082468E-4</c:v>
                </c:pt>
                <c:pt idx="19">
                  <c:v>3.2939908918532327E-4</c:v>
                </c:pt>
                <c:pt idx="20">
                  <c:v>3.365085563963981E-4</c:v>
                </c:pt>
                <c:pt idx="21">
                  <c:v>3.4330615738385365E-4</c:v>
                </c:pt>
                <c:pt idx="22">
                  <c:v>3.4978746523749475E-4</c:v>
                </c:pt>
                <c:pt idx="23">
                  <c:v>3.5594805304712613E-4</c:v>
                </c:pt>
                <c:pt idx="24">
                  <c:v>3.6178349390255255E-4</c:v>
                </c:pt>
                <c:pt idx="25">
                  <c:v>3.6728936089357856E-4</c:v>
                </c:pt>
                <c:pt idx="26">
                  <c:v>3.7246122711000911E-4</c:v>
                </c:pt>
                <c:pt idx="27">
                  <c:v>3.7729466564164881E-4</c:v>
                </c:pt>
                <c:pt idx="28">
                  <c:v>3.8178524957830246E-4</c:v>
                </c:pt>
                <c:pt idx="29">
                  <c:v>3.859285520097747E-4</c:v>
                </c:pt>
                <c:pt idx="30">
                  <c:v>3.8972014602587024E-4</c:v>
                </c:pt>
                <c:pt idx="31">
                  <c:v>3.9315560471639394E-4</c:v>
                </c:pt>
                <c:pt idx="32">
                  <c:v>3.9623050117115039E-4</c:v>
                </c:pt>
                <c:pt idx="33">
                  <c:v>3.9894040847994439E-4</c:v>
                </c:pt>
                <c:pt idx="34">
                  <c:v>4.0128089973258066E-4</c:v>
                </c:pt>
                <c:pt idx="35">
                  <c:v>4.0324754801886387E-4</c:v>
                </c:pt>
                <c:pt idx="36">
                  <c:v>4.0483592642859886E-4</c:v>
                </c:pt>
                <c:pt idx="37">
                  <c:v>4.0604160805159025E-4</c:v>
                </c:pt>
                <c:pt idx="38">
                  <c:v>4.0686016597764281E-4</c:v>
                </c:pt>
                <c:pt idx="39">
                  <c:v>4.0728717329656118E-4</c:v>
                </c:pt>
                <c:pt idx="40">
                  <c:v>4.0731820309815027E-4</c:v>
                </c:pt>
                <c:pt idx="41">
                  <c:v>4.0694882847221468E-4</c:v>
                </c:pt>
                <c:pt idx="42">
                  <c:v>4.0617462250855911E-4</c:v>
                </c:pt>
                <c:pt idx="43">
                  <c:v>4.0499115829698836E-4</c:v>
                </c:pt>
                <c:pt idx="44">
                  <c:v>4.033940089273072E-4</c:v>
                </c:pt>
                <c:pt idx="45">
                  <c:v>4.0137874748932026E-4</c:v>
                </c:pt>
                <c:pt idx="46">
                  <c:v>3.9894094707283218E-4</c:v>
                </c:pt>
                <c:pt idx="47">
                  <c:v>3.960761807676479E-4</c:v>
                </c:pt>
                <c:pt idx="48">
                  <c:v>3.92780021663572E-4</c:v>
                </c:pt>
                <c:pt idx="49">
                  <c:v>3.8904804285040928E-4</c:v>
                </c:pt>
                <c:pt idx="50">
                  <c:v>3.8487581741796444E-4</c:v>
                </c:pt>
                <c:pt idx="51">
                  <c:v>3.8025891845604219E-4</c:v>
                </c:pt>
                <c:pt idx="52">
                  <c:v>3.7519291905444729E-4</c:v>
                </c:pt>
                <c:pt idx="53">
                  <c:v>3.6967339230298442E-4</c:v>
                </c:pt>
                <c:pt idx="54">
                  <c:v>3.6369591129145834E-4</c:v>
                </c:pt>
                <c:pt idx="55">
                  <c:v>3.5725604910967387E-4</c:v>
                </c:pt>
                <c:pt idx="56">
                  <c:v>3.5034937884743548E-4</c:v>
                </c:pt>
                <c:pt idx="57">
                  <c:v>3.4297147359454815E-4</c:v>
                </c:pt>
                <c:pt idx="58">
                  <c:v>3.3511790644081651E-4</c:v>
                </c:pt>
                <c:pt idx="59">
                  <c:v>3.2678425047604523E-4</c:v>
                </c:pt>
                <c:pt idx="60">
                  <c:v>3.1796607879003915E-4</c:v>
                </c:pt>
                <c:pt idx="61">
                  <c:v>3.0865896447260287E-4</c:v>
                </c:pt>
                <c:pt idx="62">
                  <c:v>2.988584806135412E-4</c:v>
                </c:pt>
                <c:pt idx="63">
                  <c:v>2.8856020030265889E-4</c:v>
                </c:pt>
                <c:pt idx="64">
                  <c:v>2.7775969662976069E-4</c:v>
                </c:pt>
                <c:pt idx="65">
                  <c:v>2.6645254268465115E-4</c:v>
                </c:pt>
                <c:pt idx="66">
                  <c:v>2.5463431155713513E-4</c:v>
                </c:pt>
                <c:pt idx="67">
                  <c:v>2.4230057633701737E-4</c:v>
                </c:pt>
                <c:pt idx="68">
                  <c:v>2.2944691011410256E-4</c:v>
                </c:pt>
                <c:pt idx="69">
                  <c:v>2.1606888597819541E-4</c:v>
                </c:pt>
                <c:pt idx="70">
                  <c:v>2.0216207701910069E-4</c:v>
                </c:pt>
                <c:pt idx="71">
                  <c:v>1.8772205632662311E-4</c:v>
                </c:pt>
                <c:pt idx="72">
                  <c:v>1.7274439699056733E-4</c:v>
                </c:pt>
                <c:pt idx="73">
                  <c:v>1.5722467210073821E-4</c:v>
                </c:pt>
                <c:pt idx="74">
                  <c:v>1.4115845474694036E-4</c:v>
                </c:pt>
                <c:pt idx="75">
                  <c:v>1.245413180189786E-4</c:v>
                </c:pt>
                <c:pt idx="76">
                  <c:v>1.0736883500665753E-4</c:v>
                </c:pt>
                <c:pt idx="77">
                  <c:v>8.9636578799781995E-5</c:v>
                </c:pt>
                <c:pt idx="78">
                  <c:v>7.1340122488156639E-5</c:v>
                </c:pt>
                <c:pt idx="79">
                  <c:v>5.2475039161586234E-5</c:v>
                </c:pt>
                <c:pt idx="80">
                  <c:v>3.3036901909875546E-5</c:v>
                </c:pt>
                <c:pt idx="81">
                  <c:v>1.3021283822829256E-5</c:v>
                </c:pt>
                <c:pt idx="82">
                  <c:v>-7.5762420097479994E-6</c:v>
                </c:pt>
                <c:pt idx="83">
                  <c:v>-2.876010249805137E-5</c:v>
                </c:pt>
                <c:pt idx="84">
                  <c:v>-5.0534724552276102E-5</c:v>
                </c:pt>
                <c:pt idx="85">
                  <c:v>-7.2904535082617475E-5</c:v>
                </c:pt>
                <c:pt idx="86">
                  <c:v>-9.5873960999270973E-5</c:v>
                </c:pt>
                <c:pt idx="87">
                  <c:v>-1.1944742921243168E-4</c:v>
                </c:pt>
                <c:pt idx="88">
                  <c:v>-1.4362936663229485E-4</c:v>
                </c:pt>
                <c:pt idx="89">
                  <c:v>-1.6842420016905592E-4</c:v>
                </c:pt>
                <c:pt idx="90">
                  <c:v>-1.9383635673290994E-4</c:v>
                </c:pt>
                <c:pt idx="91">
                  <c:v>-2.1987026323405233E-4</c:v>
                </c:pt>
                <c:pt idx="92">
                  <c:v>-2.4653034658267837E-4</c:v>
                </c:pt>
                <c:pt idx="93">
                  <c:v>-2.7382103368898329E-4</c:v>
                </c:pt>
                <c:pt idx="94">
                  <c:v>-3.0174675146316246E-4</c:v>
                </c:pt>
                <c:pt idx="95">
                  <c:v>-3.3031192681541089E-4</c:v>
                </c:pt>
                <c:pt idx="96">
                  <c:v>-3.5952098665592423E-4</c:v>
                </c:pt>
                <c:pt idx="97">
                  <c:v>-3.8937835789489732E-4</c:v>
                </c:pt>
                <c:pt idx="98">
                  <c:v>-4.198884674425257E-4</c:v>
                </c:pt>
                <c:pt idx="99">
                  <c:v>-4.5105574220900472E-4</c:v>
                </c:pt>
                <c:pt idx="100">
                  <c:v>-4.8288460910452956E-4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A2-4F6F-AE46-D18E71339FB9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3"/>
            <c:marker>
              <c:symbol val="circle"/>
              <c:size val="6"/>
              <c:spPr>
                <a:noFill/>
                <a:ln w="12700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F1A2-4F6F-AE46-D18E71339FB9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plus>
            <c:minus>
              <c:numRef>
                <c:f>Corrección!$E$19:$E$24</c:f>
                <c:numCache>
                  <c:formatCode>General</c:formatCode>
                  <c:ptCount val="6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Corrección!$C$19:$C$31</c:f>
              <c:numCache>
                <c:formatCode>General</c:formatCode>
                <c:ptCount val="13"/>
                <c:pt idx="0">
                  <c:v>-10</c:v>
                </c:pt>
                <c:pt idx="1">
                  <c:v>-8</c:v>
                </c:pt>
                <c:pt idx="2">
                  <c:v>-5</c:v>
                </c:pt>
                <c:pt idx="3">
                  <c:v>-2</c:v>
                </c:pt>
                <c:pt idx="4">
                  <c:v>0</c:v>
                </c:pt>
                <c:pt idx="5">
                  <c:v>2</c:v>
                </c:pt>
                <c:pt idx="6">
                  <c:v>5</c:v>
                </c:pt>
                <c:pt idx="7">
                  <c:v>8</c:v>
                </c:pt>
                <c:pt idx="8">
                  <c:v>10</c:v>
                </c:pt>
                <c:pt idx="9">
                  <c:v>13</c:v>
                </c:pt>
                <c:pt idx="10">
                  <c:v>15</c:v>
                </c:pt>
              </c:numCache>
            </c:numRef>
          </c:xVal>
          <c:yVal>
            <c:numRef>
              <c:f>Corrección!$D$19:$D$31</c:f>
              <c:numCache>
                <c:formatCode>General</c:formatCode>
                <c:ptCount val="13"/>
                <c:pt idx="0">
                  <c:v>2.0000000000000001E-4</c:v>
                </c:pt>
                <c:pt idx="1">
                  <c:v>2.0000000000000001E-4</c:v>
                </c:pt>
                <c:pt idx="2">
                  <c:v>2.9999999999999997E-4</c:v>
                </c:pt>
                <c:pt idx="3">
                  <c:v>2.9999999999999997E-4</c:v>
                </c:pt>
                <c:pt idx="4">
                  <c:v>4.0000000000000002E-4</c:v>
                </c:pt>
                <c:pt idx="5">
                  <c:v>4.0000000000000002E-4</c:v>
                </c:pt>
                <c:pt idx="6">
                  <c:v>5.0000000000000001E-4</c:v>
                </c:pt>
                <c:pt idx="7">
                  <c:v>5.0000000000000001E-4</c:v>
                </c:pt>
                <c:pt idx="8">
                  <c:v>-4.0000000000000002E-4</c:v>
                </c:pt>
                <c:pt idx="9">
                  <c:v>-4.0000000000000002E-4</c:v>
                </c:pt>
                <c:pt idx="10">
                  <c:v>-2.9999999999999997E-4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1A2-4F6F-AE46-D18E71339FB9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Corrección!$F$45:$F$54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plus>
            <c:minus>
              <c:numRef>
                <c:f>Corrección!$F$45:$F$54</c:f>
                <c:numCache>
                  <c:formatCode>General</c:formatCode>
                  <c:ptCount val="10"/>
                  <c:pt idx="0">
                    <c:v>1.9E-3</c:v>
                  </c:pt>
                  <c:pt idx="1">
                    <c:v>1.9E-3</c:v>
                  </c:pt>
                  <c:pt idx="2">
                    <c:v>1.9E-3</c:v>
                  </c:pt>
                  <c:pt idx="3">
                    <c:v>1.9E-3</c:v>
                  </c:pt>
                  <c:pt idx="4">
                    <c:v>1.9E-3</c:v>
                  </c:pt>
                  <c:pt idx="5">
                    <c:v>1.9E-3</c:v>
                  </c:pt>
                  <c:pt idx="6">
                    <c:v>1.9E-3</c:v>
                  </c:pt>
                  <c:pt idx="7">
                    <c:v>1.9E-3</c:v>
                  </c:pt>
                  <c:pt idx="8">
                    <c:v>1.9E-3</c:v>
                  </c:pt>
                  <c:pt idx="9">
                    <c:v>1.9E-3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Corrección!$C$45:$C$54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Corrección!$D$45:$D$54</c:f>
              <c:numCache>
                <c:formatCode>0.0000</c:formatCode>
                <c:ptCount val="10"/>
                <c:pt idx="0">
                  <c:v>4.0731820309815027E-4</c:v>
                </c:pt>
                <c:pt idx="1">
                  <c:v>4.0731820309815027E-4</c:v>
                </c:pt>
                <c:pt idx="2">
                  <c:v>4.0731820309815027E-4</c:v>
                </c:pt>
                <c:pt idx="3">
                  <c:v>4.0731820309815027E-4</c:v>
                </c:pt>
                <c:pt idx="4">
                  <c:v>4.0731820309815027E-4</c:v>
                </c:pt>
                <c:pt idx="5">
                  <c:v>4.0731820309815027E-4</c:v>
                </c:pt>
                <c:pt idx="6">
                  <c:v>4.0731820309815027E-4</c:v>
                </c:pt>
                <c:pt idx="7">
                  <c:v>4.0731820309815027E-4</c:v>
                </c:pt>
                <c:pt idx="8">
                  <c:v>4.0731820309815027E-4</c:v>
                </c:pt>
                <c:pt idx="9">
                  <c:v>4.0731820309815027E-4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1A2-4F6F-AE46-D18E71339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manovacuómetro, [psi]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Corrección!$E$626:$E$726</c:f>
              <c:numCache>
                <c:formatCode>0.0000</c:formatCode>
                <c:ptCount val="101"/>
                <c:pt idx="0">
                  <c:v>0</c:v>
                </c:pt>
                <c:pt idx="1">
                  <c:v>60</c:v>
                </c:pt>
                <c:pt idx="2">
                  <c:v>120</c:v>
                </c:pt>
                <c:pt idx="3">
                  <c:v>180</c:v>
                </c:pt>
                <c:pt idx="4">
                  <c:v>240</c:v>
                </c:pt>
                <c:pt idx="5">
                  <c:v>300</c:v>
                </c:pt>
                <c:pt idx="6">
                  <c:v>360</c:v>
                </c:pt>
                <c:pt idx="7">
                  <c:v>420</c:v>
                </c:pt>
                <c:pt idx="8">
                  <c:v>480</c:v>
                </c:pt>
                <c:pt idx="9">
                  <c:v>540</c:v>
                </c:pt>
                <c:pt idx="10">
                  <c:v>600</c:v>
                </c:pt>
                <c:pt idx="11">
                  <c:v>660</c:v>
                </c:pt>
                <c:pt idx="12">
                  <c:v>720</c:v>
                </c:pt>
                <c:pt idx="13">
                  <c:v>780</c:v>
                </c:pt>
                <c:pt idx="14">
                  <c:v>840</c:v>
                </c:pt>
                <c:pt idx="15">
                  <c:v>900</c:v>
                </c:pt>
                <c:pt idx="16">
                  <c:v>960</c:v>
                </c:pt>
                <c:pt idx="17">
                  <c:v>1020</c:v>
                </c:pt>
                <c:pt idx="18">
                  <c:v>1080</c:v>
                </c:pt>
                <c:pt idx="19">
                  <c:v>1140</c:v>
                </c:pt>
                <c:pt idx="20">
                  <c:v>1200</c:v>
                </c:pt>
                <c:pt idx="21">
                  <c:v>1260</c:v>
                </c:pt>
                <c:pt idx="22">
                  <c:v>1320</c:v>
                </c:pt>
                <c:pt idx="23">
                  <c:v>1380</c:v>
                </c:pt>
                <c:pt idx="24">
                  <c:v>1440</c:v>
                </c:pt>
                <c:pt idx="25">
                  <c:v>1500</c:v>
                </c:pt>
                <c:pt idx="26">
                  <c:v>1560</c:v>
                </c:pt>
                <c:pt idx="27">
                  <c:v>1620</c:v>
                </c:pt>
                <c:pt idx="28">
                  <c:v>1680</c:v>
                </c:pt>
                <c:pt idx="29">
                  <c:v>1740</c:v>
                </c:pt>
                <c:pt idx="30">
                  <c:v>1800</c:v>
                </c:pt>
                <c:pt idx="31">
                  <c:v>1860</c:v>
                </c:pt>
                <c:pt idx="32">
                  <c:v>1920</c:v>
                </c:pt>
                <c:pt idx="33">
                  <c:v>1980</c:v>
                </c:pt>
                <c:pt idx="34">
                  <c:v>2040</c:v>
                </c:pt>
                <c:pt idx="35">
                  <c:v>2100</c:v>
                </c:pt>
                <c:pt idx="36">
                  <c:v>2160</c:v>
                </c:pt>
                <c:pt idx="37">
                  <c:v>2220</c:v>
                </c:pt>
                <c:pt idx="38">
                  <c:v>2280</c:v>
                </c:pt>
                <c:pt idx="39">
                  <c:v>2340</c:v>
                </c:pt>
                <c:pt idx="40">
                  <c:v>2400</c:v>
                </c:pt>
                <c:pt idx="41">
                  <c:v>2460</c:v>
                </c:pt>
                <c:pt idx="42">
                  <c:v>2520</c:v>
                </c:pt>
                <c:pt idx="43">
                  <c:v>2580</c:v>
                </c:pt>
                <c:pt idx="44">
                  <c:v>2640</c:v>
                </c:pt>
                <c:pt idx="45">
                  <c:v>2700</c:v>
                </c:pt>
                <c:pt idx="46">
                  <c:v>2760</c:v>
                </c:pt>
                <c:pt idx="47">
                  <c:v>2820</c:v>
                </c:pt>
                <c:pt idx="48">
                  <c:v>2880</c:v>
                </c:pt>
                <c:pt idx="49">
                  <c:v>2940</c:v>
                </c:pt>
                <c:pt idx="50">
                  <c:v>3000</c:v>
                </c:pt>
                <c:pt idx="51">
                  <c:v>3060</c:v>
                </c:pt>
                <c:pt idx="52">
                  <c:v>3120</c:v>
                </c:pt>
                <c:pt idx="53">
                  <c:v>3180</c:v>
                </c:pt>
                <c:pt idx="54">
                  <c:v>3240</c:v>
                </c:pt>
                <c:pt idx="55">
                  <c:v>3300</c:v>
                </c:pt>
                <c:pt idx="56">
                  <c:v>3360</c:v>
                </c:pt>
                <c:pt idx="57">
                  <c:v>3420</c:v>
                </c:pt>
                <c:pt idx="58">
                  <c:v>3480</c:v>
                </c:pt>
                <c:pt idx="59">
                  <c:v>3540</c:v>
                </c:pt>
                <c:pt idx="60">
                  <c:v>3600</c:v>
                </c:pt>
                <c:pt idx="61">
                  <c:v>3660</c:v>
                </c:pt>
                <c:pt idx="62">
                  <c:v>3720</c:v>
                </c:pt>
                <c:pt idx="63">
                  <c:v>3780</c:v>
                </c:pt>
                <c:pt idx="64">
                  <c:v>3840</c:v>
                </c:pt>
                <c:pt idx="65">
                  <c:v>3900</c:v>
                </c:pt>
                <c:pt idx="66">
                  <c:v>3960</c:v>
                </c:pt>
                <c:pt idx="67">
                  <c:v>4020</c:v>
                </c:pt>
                <c:pt idx="68">
                  <c:v>4080</c:v>
                </c:pt>
                <c:pt idx="69">
                  <c:v>4140</c:v>
                </c:pt>
                <c:pt idx="70">
                  <c:v>4200</c:v>
                </c:pt>
                <c:pt idx="71">
                  <c:v>4260</c:v>
                </c:pt>
                <c:pt idx="72">
                  <c:v>4320</c:v>
                </c:pt>
                <c:pt idx="73">
                  <c:v>4380</c:v>
                </c:pt>
                <c:pt idx="74">
                  <c:v>4440</c:v>
                </c:pt>
                <c:pt idx="75">
                  <c:v>4500</c:v>
                </c:pt>
                <c:pt idx="76">
                  <c:v>4560</c:v>
                </c:pt>
                <c:pt idx="77">
                  <c:v>4620</c:v>
                </c:pt>
                <c:pt idx="78">
                  <c:v>4680</c:v>
                </c:pt>
                <c:pt idx="79">
                  <c:v>4740</c:v>
                </c:pt>
                <c:pt idx="80">
                  <c:v>4800</c:v>
                </c:pt>
                <c:pt idx="81">
                  <c:v>4860</c:v>
                </c:pt>
                <c:pt idx="82">
                  <c:v>4920</c:v>
                </c:pt>
                <c:pt idx="83">
                  <c:v>4980</c:v>
                </c:pt>
                <c:pt idx="84">
                  <c:v>5040</c:v>
                </c:pt>
                <c:pt idx="85">
                  <c:v>5100</c:v>
                </c:pt>
                <c:pt idx="86">
                  <c:v>5160</c:v>
                </c:pt>
                <c:pt idx="87">
                  <c:v>5220</c:v>
                </c:pt>
                <c:pt idx="88">
                  <c:v>5280</c:v>
                </c:pt>
                <c:pt idx="89">
                  <c:v>5340</c:v>
                </c:pt>
                <c:pt idx="90">
                  <c:v>5400</c:v>
                </c:pt>
                <c:pt idx="91">
                  <c:v>5460</c:v>
                </c:pt>
                <c:pt idx="92">
                  <c:v>5520</c:v>
                </c:pt>
                <c:pt idx="93">
                  <c:v>5580</c:v>
                </c:pt>
                <c:pt idx="94">
                  <c:v>5640</c:v>
                </c:pt>
                <c:pt idx="95">
                  <c:v>5700</c:v>
                </c:pt>
                <c:pt idx="96">
                  <c:v>5760</c:v>
                </c:pt>
                <c:pt idx="97">
                  <c:v>5820</c:v>
                </c:pt>
                <c:pt idx="98">
                  <c:v>5880</c:v>
                </c:pt>
                <c:pt idx="99">
                  <c:v>5940</c:v>
                </c:pt>
                <c:pt idx="100">
                  <c:v>6000</c:v>
                </c:pt>
              </c:numCache>
            </c:numRef>
          </c:xVal>
          <c:yVal>
            <c:numRef>
              <c:f>Corrección!$F$626:$F$726</c:f>
              <c:numCache>
                <c:formatCode>0.0000</c:formatCode>
                <c:ptCount val="101"/>
                <c:pt idx="0">
                  <c:v>-0.20194848658088754</c:v>
                </c:pt>
                <c:pt idx="1">
                  <c:v>-0.19012909431081698</c:v>
                </c:pt>
                <c:pt idx="2">
                  <c:v>-0.1787133931336064</c:v>
                </c:pt>
                <c:pt idx="3">
                  <c:v>-0.16769176996826568</c:v>
                </c:pt>
                <c:pt idx="4">
                  <c:v>-0.15705461173380464</c:v>
                </c:pt>
                <c:pt idx="5">
                  <c:v>-0.14679230534923318</c:v>
                </c:pt>
                <c:pt idx="6">
                  <c:v>-0.1368952377335611</c:v>
                </c:pt>
                <c:pt idx="7">
                  <c:v>-0.12735379580579828</c:v>
                </c:pt>
                <c:pt idx="8">
                  <c:v>-0.11815836648495458</c:v>
                </c:pt>
                <c:pt idx="9">
                  <c:v>-0.10929933669003984</c:v>
                </c:pt>
                <c:pt idx="10">
                  <c:v>-0.10076709334006388</c:v>
                </c:pt>
                <c:pt idx="11">
                  <c:v>-9.2552023354036603E-2</c:v>
                </c:pt>
                <c:pt idx="12">
                  <c:v>-8.4644513650967812E-2</c:v>
                </c:pt>
                <c:pt idx="13">
                  <c:v>-7.7034951149867387E-2</c:v>
                </c:pt>
                <c:pt idx="14">
                  <c:v>-6.9713722769745204E-2</c:v>
                </c:pt>
                <c:pt idx="15">
                  <c:v>-6.2671215429611044E-2</c:v>
                </c:pt>
                <c:pt idx="16">
                  <c:v>-5.5897816048474797E-2</c:v>
                </c:pt>
                <c:pt idx="17">
                  <c:v>-4.9383911545346354E-2</c:v>
                </c:pt>
                <c:pt idx="18">
                  <c:v>-4.3119888839235503E-2</c:v>
                </c:pt>
                <c:pt idx="19">
                  <c:v>-3.7096134849152106E-2</c:v>
                </c:pt>
                <c:pt idx="20">
                  <c:v>-3.1303036494106054E-2</c:v>
                </c:pt>
                <c:pt idx="21">
                  <c:v>-2.5730980693107114E-2</c:v>
                </c:pt>
                <c:pt idx="22">
                  <c:v>-2.0370354365165291E-2</c:v>
                </c:pt>
                <c:pt idx="23">
                  <c:v>-1.521154442929027E-2</c:v>
                </c:pt>
                <c:pt idx="24">
                  <c:v>-1.0244937804491986E-2</c:v>
                </c:pt>
                <c:pt idx="25">
                  <c:v>-5.4609214097802797E-3</c:v>
                </c:pt>
                <c:pt idx="26">
                  <c:v>-8.4988216416497994E-4</c:v>
                </c:pt>
                <c:pt idx="27">
                  <c:v>3.5977930133440361E-3</c:v>
                </c:pt>
                <c:pt idx="28">
                  <c:v>7.8917172037368602E-3</c:v>
                </c:pt>
                <c:pt idx="29">
                  <c:v>1.2041503488003771E-2</c:v>
                </c:pt>
                <c:pt idx="30">
                  <c:v>1.6056764947134872E-2</c:v>
                </c:pt>
                <c:pt idx="31">
                  <c:v>1.9947114662120277E-2</c:v>
                </c:pt>
                <c:pt idx="32">
                  <c:v>2.3722165713950139E-2</c:v>
                </c:pt>
                <c:pt idx="33">
                  <c:v>2.7391531183614599E-2</c:v>
                </c:pt>
                <c:pt idx="34">
                  <c:v>3.096482415210379E-2</c:v>
                </c:pt>
                <c:pt idx="35">
                  <c:v>3.4451657700407978E-2</c:v>
                </c:pt>
                <c:pt idx="36">
                  <c:v>3.786164490951717E-2</c:v>
                </c:pt>
                <c:pt idx="37">
                  <c:v>4.120439886042164E-2</c:v>
                </c:pt>
                <c:pt idx="38">
                  <c:v>4.4489532634111442E-2</c:v>
                </c:pt>
                <c:pt idx="39">
                  <c:v>4.7726659311576741E-2</c:v>
                </c:pt>
                <c:pt idx="40">
                  <c:v>5.0925391973807702E-2</c:v>
                </c:pt>
                <c:pt idx="41">
                  <c:v>5.4095343701794502E-2</c:v>
                </c:pt>
                <c:pt idx="42">
                  <c:v>5.724612757652732E-2</c:v>
                </c:pt>
                <c:pt idx="43">
                  <c:v>6.0387356678996029E-2</c:v>
                </c:pt>
                <c:pt idx="44">
                  <c:v>6.3528644090191128E-2</c:v>
                </c:pt>
                <c:pt idx="45">
                  <c:v>6.6679602891102668E-2</c:v>
                </c:pt>
                <c:pt idx="46">
                  <c:v>6.9849846162720719E-2</c:v>
                </c:pt>
                <c:pt idx="47">
                  <c:v>7.3048986986035486E-2</c:v>
                </c:pt>
                <c:pt idx="48">
                  <c:v>7.6286638442037064E-2</c:v>
                </c:pt>
                <c:pt idx="49">
                  <c:v>7.9572413611715742E-2</c:v>
                </c:pt>
                <c:pt idx="50">
                  <c:v>8.2915925576061422E-2</c:v>
                </c:pt>
                <c:pt idx="51">
                  <c:v>8.6326787416064504E-2</c:v>
                </c:pt>
                <c:pt idx="52">
                  <c:v>8.9814612212715E-2</c:v>
                </c:pt>
                <c:pt idx="53">
                  <c:v>9.3389013047003006E-2</c:v>
                </c:pt>
                <c:pt idx="54">
                  <c:v>9.7059602999918948E-2</c:v>
                </c:pt>
                <c:pt idx="55">
                  <c:v>0.10083599515245262</c:v>
                </c:pt>
                <c:pt idx="56">
                  <c:v>0.10472780258559433</c:v>
                </c:pt>
                <c:pt idx="57">
                  <c:v>0.10874463838033438</c:v>
                </c:pt>
                <c:pt idx="58">
                  <c:v>0.11289611561766261</c:v>
                </c:pt>
                <c:pt idx="59">
                  <c:v>0.11719184737856941</c:v>
                </c:pt>
                <c:pt idx="60">
                  <c:v>0.12164144674404498</c:v>
                </c:pt>
                <c:pt idx="61">
                  <c:v>0.12625452679507915</c:v>
                </c:pt>
                <c:pt idx="62">
                  <c:v>0.13104070061266238</c:v>
                </c:pt>
                <c:pt idx="63">
                  <c:v>0.13600958127778451</c:v>
                </c:pt>
                <c:pt idx="64">
                  <c:v>0.14117078187143606</c:v>
                </c:pt>
                <c:pt idx="65">
                  <c:v>0.1465339154746067</c:v>
                </c:pt>
                <c:pt idx="66">
                  <c:v>0.15210859516828718</c:v>
                </c:pt>
                <c:pt idx="67">
                  <c:v>0.15790443403346716</c:v>
                </c:pt>
                <c:pt idx="68">
                  <c:v>0.16393104515113688</c:v>
                </c:pt>
                <c:pt idx="69">
                  <c:v>0.17019804160228702</c:v>
                </c:pt>
                <c:pt idx="70">
                  <c:v>0.17671503646790687</c:v>
                </c:pt>
                <c:pt idx="71">
                  <c:v>0.18349164282898722</c:v>
                </c:pt>
                <c:pt idx="72">
                  <c:v>0.19053747376651764</c:v>
                </c:pt>
                <c:pt idx="73">
                  <c:v>0.19786214236148936</c:v>
                </c:pt>
                <c:pt idx="74">
                  <c:v>0.20547526169489105</c:v>
                </c:pt>
                <c:pt idx="75">
                  <c:v>0.21338644484771407</c:v>
                </c:pt>
                <c:pt idx="76">
                  <c:v>0.22160530490094776</c:v>
                </c:pt>
                <c:pt idx="77">
                  <c:v>0.23014145493558325</c:v>
                </c:pt>
                <c:pt idx="78">
                  <c:v>0.23900450803260909</c:v>
                </c:pt>
                <c:pt idx="79">
                  <c:v>0.24820407727301719</c:v>
                </c:pt>
                <c:pt idx="80">
                  <c:v>0.25774977573779656</c:v>
                </c:pt>
                <c:pt idx="81">
                  <c:v>0.26765121650793788</c:v>
                </c:pt>
                <c:pt idx="82">
                  <c:v>0.27791801266443095</c:v>
                </c:pt>
                <c:pt idx="83">
                  <c:v>0.28855977728826609</c:v>
                </c:pt>
                <c:pt idx="84">
                  <c:v>0.29958612346043367</c:v>
                </c:pt>
                <c:pt idx="85">
                  <c:v>0.31100666426192336</c:v>
                </c:pt>
                <c:pt idx="86">
                  <c:v>0.32283101277372528</c:v>
                </c:pt>
                <c:pt idx="87">
                  <c:v>0.33506878207683011</c:v>
                </c:pt>
                <c:pt idx="88">
                  <c:v>0.34772958525222797</c:v>
                </c:pt>
                <c:pt idx="89">
                  <c:v>0.36082303538090876</c:v>
                </c:pt>
                <c:pt idx="90">
                  <c:v>0.37435874554386261</c:v>
                </c:pt>
                <c:pt idx="91">
                  <c:v>0.38834632882207964</c:v>
                </c:pt>
                <c:pt idx="92">
                  <c:v>0.40279539829654998</c:v>
                </c:pt>
                <c:pt idx="93">
                  <c:v>0.41771556704826396</c:v>
                </c:pt>
                <c:pt idx="94">
                  <c:v>0.43311644815821171</c:v>
                </c:pt>
                <c:pt idx="95">
                  <c:v>0.44900765470738313</c:v>
                </c:pt>
                <c:pt idx="96">
                  <c:v>0.46539879977676857</c:v>
                </c:pt>
                <c:pt idx="97">
                  <c:v>0.48229949644735837</c:v>
                </c:pt>
                <c:pt idx="98">
                  <c:v>0.49971935780014265</c:v>
                </c:pt>
                <c:pt idx="99">
                  <c:v>0.51766799691611087</c:v>
                </c:pt>
                <c:pt idx="100">
                  <c:v>0.53615502687625383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84-4018-8032-E91C25B336A8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plus>
            <c:minus>
              <c:numRef>
                <c:f>Corrección!$E$117:$E$127</c:f>
                <c:numCache>
                  <c:formatCode>General</c:formatCode>
                  <c:ptCount val="11"/>
                  <c:pt idx="0">
                    <c:v>0.59</c:v>
                  </c:pt>
                  <c:pt idx="1">
                    <c:v>0.64</c:v>
                  </c:pt>
                  <c:pt idx="2">
                    <c:v>0.64</c:v>
                  </c:pt>
                  <c:pt idx="3">
                    <c:v>0.64</c:v>
                  </c:pt>
                  <c:pt idx="4">
                    <c:v>0.64</c:v>
                  </c:pt>
                  <c:pt idx="5">
                    <c:v>0.68</c:v>
                  </c:pt>
                  <c:pt idx="6">
                    <c:v>0.71</c:v>
                  </c:pt>
                  <c:pt idx="7">
                    <c:v>0.72</c:v>
                  </c:pt>
                  <c:pt idx="8">
                    <c:v>0.71</c:v>
                  </c:pt>
                  <c:pt idx="9">
                    <c:v>0.71</c:v>
                  </c:pt>
                  <c:pt idx="10">
                    <c:v>0.71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Corrección!$C$117:$C$127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100</c:v>
                </c:pt>
                <c:pt idx="5">
                  <c:v>1000</c:v>
                </c:pt>
                <c:pt idx="6">
                  <c:v>2000</c:v>
                </c:pt>
                <c:pt idx="7">
                  <c:v>3000</c:v>
                </c:pt>
                <c:pt idx="8">
                  <c:v>4000</c:v>
                </c:pt>
                <c:pt idx="9">
                  <c:v>5000</c:v>
                </c:pt>
                <c:pt idx="10">
                  <c:v>6000</c:v>
                </c:pt>
              </c:numCache>
            </c:numRef>
          </c:xVal>
          <c:yVal>
            <c:numRef>
              <c:f>Corrección!$D$117:$D$127</c:f>
              <c:numCache>
                <c:formatCode>General</c:formatCode>
                <c:ptCount val="11"/>
                <c:pt idx="0">
                  <c:v>-0.1</c:v>
                </c:pt>
                <c:pt idx="1">
                  <c:v>-0.33</c:v>
                </c:pt>
                <c:pt idx="2">
                  <c:v>-0.15</c:v>
                </c:pt>
                <c:pt idx="3">
                  <c:v>-0.2</c:v>
                </c:pt>
                <c:pt idx="4">
                  <c:v>-0.12</c:v>
                </c:pt>
                <c:pt idx="5">
                  <c:v>-0.27</c:v>
                </c:pt>
                <c:pt idx="6">
                  <c:v>0.13</c:v>
                </c:pt>
                <c:pt idx="7">
                  <c:v>0.25</c:v>
                </c:pt>
                <c:pt idx="8">
                  <c:v>0</c:v>
                </c:pt>
                <c:pt idx="9">
                  <c:v>0.28999999999999998</c:v>
                </c:pt>
                <c:pt idx="10">
                  <c:v>0.56000000000000005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84-4018-8032-E91C25B336A8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Corrección!$F$141:$F$150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Corrección!$F$141:$F$150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Corrección!$C$141:$C$150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Corrección!$D$141:$D$150</c:f>
              <c:numCache>
                <c:formatCode>0.0000</c:formatCode>
                <c:ptCount val="10"/>
                <c:pt idx="0">
                  <c:v>-0.20194848658088754</c:v>
                </c:pt>
                <c:pt idx="1">
                  <c:v>-0.20194848658088754</c:v>
                </c:pt>
                <c:pt idx="2">
                  <c:v>-0.20194848658088754</c:v>
                </c:pt>
                <c:pt idx="3">
                  <c:v>-0.20194848658088754</c:v>
                </c:pt>
                <c:pt idx="4">
                  <c:v>-0.20194848658088754</c:v>
                </c:pt>
                <c:pt idx="5">
                  <c:v>-0.20194848658088754</c:v>
                </c:pt>
                <c:pt idx="6">
                  <c:v>-0.20194848658088754</c:v>
                </c:pt>
                <c:pt idx="7">
                  <c:v>-0.20194848658088754</c:v>
                </c:pt>
                <c:pt idx="8">
                  <c:v>-0.20194848658088754</c:v>
                </c:pt>
                <c:pt idx="9">
                  <c:v>-0.20194848658088754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84-4018-8032-E91C25B33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manómetro,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Corrección!$G$626:$G$726</c:f>
              <c:numCache>
                <c:formatCode>0.0000</c:formatCode>
                <c:ptCount val="10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  <c:pt idx="31">
                  <c:v>310</c:v>
                </c:pt>
                <c:pt idx="32">
                  <c:v>320</c:v>
                </c:pt>
                <c:pt idx="33">
                  <c:v>330</c:v>
                </c:pt>
                <c:pt idx="34">
                  <c:v>340</c:v>
                </c:pt>
                <c:pt idx="35">
                  <c:v>350</c:v>
                </c:pt>
                <c:pt idx="36">
                  <c:v>360</c:v>
                </c:pt>
                <c:pt idx="37">
                  <c:v>370</c:v>
                </c:pt>
                <c:pt idx="38">
                  <c:v>380</c:v>
                </c:pt>
                <c:pt idx="39">
                  <c:v>390</c:v>
                </c:pt>
                <c:pt idx="40">
                  <c:v>400</c:v>
                </c:pt>
                <c:pt idx="41">
                  <c:v>410</c:v>
                </c:pt>
                <c:pt idx="42">
                  <c:v>420</c:v>
                </c:pt>
                <c:pt idx="43">
                  <c:v>430</c:v>
                </c:pt>
                <c:pt idx="44">
                  <c:v>440</c:v>
                </c:pt>
                <c:pt idx="45">
                  <c:v>450</c:v>
                </c:pt>
                <c:pt idx="46">
                  <c:v>460</c:v>
                </c:pt>
                <c:pt idx="47">
                  <c:v>470</c:v>
                </c:pt>
                <c:pt idx="48">
                  <c:v>480</c:v>
                </c:pt>
                <c:pt idx="49">
                  <c:v>490</c:v>
                </c:pt>
                <c:pt idx="50">
                  <c:v>500</c:v>
                </c:pt>
                <c:pt idx="51">
                  <c:v>510</c:v>
                </c:pt>
                <c:pt idx="52">
                  <c:v>520</c:v>
                </c:pt>
                <c:pt idx="53">
                  <c:v>530</c:v>
                </c:pt>
                <c:pt idx="54">
                  <c:v>540</c:v>
                </c:pt>
                <c:pt idx="55">
                  <c:v>550</c:v>
                </c:pt>
                <c:pt idx="56">
                  <c:v>560</c:v>
                </c:pt>
                <c:pt idx="57">
                  <c:v>570</c:v>
                </c:pt>
                <c:pt idx="58">
                  <c:v>580</c:v>
                </c:pt>
                <c:pt idx="59">
                  <c:v>590</c:v>
                </c:pt>
                <c:pt idx="60">
                  <c:v>600</c:v>
                </c:pt>
                <c:pt idx="61">
                  <c:v>610</c:v>
                </c:pt>
                <c:pt idx="62">
                  <c:v>620</c:v>
                </c:pt>
                <c:pt idx="63">
                  <c:v>630</c:v>
                </c:pt>
                <c:pt idx="64">
                  <c:v>640</c:v>
                </c:pt>
                <c:pt idx="65">
                  <c:v>650</c:v>
                </c:pt>
                <c:pt idx="66">
                  <c:v>660</c:v>
                </c:pt>
                <c:pt idx="67">
                  <c:v>670</c:v>
                </c:pt>
                <c:pt idx="68">
                  <c:v>680</c:v>
                </c:pt>
                <c:pt idx="69">
                  <c:v>690</c:v>
                </c:pt>
                <c:pt idx="70">
                  <c:v>700</c:v>
                </c:pt>
                <c:pt idx="71">
                  <c:v>710</c:v>
                </c:pt>
                <c:pt idx="72">
                  <c:v>720</c:v>
                </c:pt>
                <c:pt idx="73">
                  <c:v>730</c:v>
                </c:pt>
                <c:pt idx="74">
                  <c:v>740</c:v>
                </c:pt>
                <c:pt idx="75">
                  <c:v>750</c:v>
                </c:pt>
                <c:pt idx="76">
                  <c:v>760</c:v>
                </c:pt>
                <c:pt idx="77">
                  <c:v>770</c:v>
                </c:pt>
                <c:pt idx="78">
                  <c:v>780</c:v>
                </c:pt>
                <c:pt idx="79">
                  <c:v>790</c:v>
                </c:pt>
                <c:pt idx="80">
                  <c:v>800</c:v>
                </c:pt>
                <c:pt idx="81">
                  <c:v>810</c:v>
                </c:pt>
                <c:pt idx="82">
                  <c:v>820</c:v>
                </c:pt>
                <c:pt idx="83">
                  <c:v>830</c:v>
                </c:pt>
                <c:pt idx="84">
                  <c:v>840</c:v>
                </c:pt>
                <c:pt idx="85">
                  <c:v>850</c:v>
                </c:pt>
                <c:pt idx="86">
                  <c:v>860</c:v>
                </c:pt>
                <c:pt idx="87">
                  <c:v>870</c:v>
                </c:pt>
                <c:pt idx="88">
                  <c:v>880</c:v>
                </c:pt>
                <c:pt idx="89">
                  <c:v>890</c:v>
                </c:pt>
                <c:pt idx="90">
                  <c:v>900</c:v>
                </c:pt>
                <c:pt idx="91">
                  <c:v>910</c:v>
                </c:pt>
                <c:pt idx="92">
                  <c:v>920</c:v>
                </c:pt>
                <c:pt idx="93">
                  <c:v>930</c:v>
                </c:pt>
                <c:pt idx="94">
                  <c:v>940</c:v>
                </c:pt>
                <c:pt idx="95">
                  <c:v>950</c:v>
                </c:pt>
                <c:pt idx="96">
                  <c:v>960</c:v>
                </c:pt>
                <c:pt idx="97">
                  <c:v>970</c:v>
                </c:pt>
                <c:pt idx="98">
                  <c:v>980</c:v>
                </c:pt>
                <c:pt idx="99">
                  <c:v>990</c:v>
                </c:pt>
                <c:pt idx="100">
                  <c:v>1000</c:v>
                </c:pt>
              </c:numCache>
            </c:numRef>
          </c:xVal>
          <c:yVal>
            <c:numRef>
              <c:f>Corrección!$H$626:$H$726</c:f>
              <c:numCache>
                <c:formatCode>0.0000</c:formatCode>
                <c:ptCount val="101"/>
                <c:pt idx="0">
                  <c:v>-1.6783216783218258E-3</c:v>
                </c:pt>
                <c:pt idx="1">
                  <c:v>1.988487762237745E-2</c:v>
                </c:pt>
                <c:pt idx="2">
                  <c:v>3.9998135198135006E-2</c:v>
                </c:pt>
                <c:pt idx="3">
                  <c:v>5.869204545454524E-2</c:v>
                </c:pt>
                <c:pt idx="4">
                  <c:v>7.5997202797202568E-2</c:v>
                </c:pt>
                <c:pt idx="5">
                  <c:v>9.1944201631701403E-2</c:v>
                </c:pt>
                <c:pt idx="6">
                  <c:v>0.1065636363636361</c:v>
                </c:pt>
                <c:pt idx="7">
                  <c:v>0.11988610139860113</c:v>
                </c:pt>
                <c:pt idx="8">
                  <c:v>0.13194219114219086</c:v>
                </c:pt>
                <c:pt idx="9">
                  <c:v>0.14276249999999971</c:v>
                </c:pt>
                <c:pt idx="10">
                  <c:v>0.15237762237762209</c:v>
                </c:pt>
                <c:pt idx="11">
                  <c:v>0.16081815268065239</c:v>
                </c:pt>
                <c:pt idx="12">
                  <c:v>0.16811468531468499</c:v>
                </c:pt>
                <c:pt idx="13">
                  <c:v>0.17429781468531438</c:v>
                </c:pt>
                <c:pt idx="14">
                  <c:v>0.17939813519813486</c:v>
                </c:pt>
                <c:pt idx="15">
                  <c:v>0.18344624125874096</c:v>
                </c:pt>
                <c:pt idx="16">
                  <c:v>0.18647272727272693</c:v>
                </c:pt>
                <c:pt idx="17">
                  <c:v>0.18850818764568733</c:v>
                </c:pt>
                <c:pt idx="18">
                  <c:v>0.18958321678321646</c:v>
                </c:pt>
                <c:pt idx="19">
                  <c:v>0.1897284090909088</c:v>
                </c:pt>
                <c:pt idx="20">
                  <c:v>0.18897435897435871</c:v>
                </c:pt>
                <c:pt idx="21">
                  <c:v>0.18735166083916055</c:v>
                </c:pt>
                <c:pt idx="22">
                  <c:v>0.1848909090909088</c:v>
                </c:pt>
                <c:pt idx="23">
                  <c:v>0.1816226981351978</c:v>
                </c:pt>
                <c:pt idx="24">
                  <c:v>0.17757762237762209</c:v>
                </c:pt>
                <c:pt idx="25">
                  <c:v>0.17278627622377596</c:v>
                </c:pt>
                <c:pt idx="26">
                  <c:v>0.16727925407925381</c:v>
                </c:pt>
                <c:pt idx="27">
                  <c:v>0.16108715034965015</c:v>
                </c:pt>
                <c:pt idx="28">
                  <c:v>0.15424055944055912</c:v>
                </c:pt>
                <c:pt idx="29">
                  <c:v>0.14677007575757556</c:v>
                </c:pt>
                <c:pt idx="30">
                  <c:v>0.1387062937062935</c:v>
                </c:pt>
                <c:pt idx="31">
                  <c:v>0.13007980769230762</c:v>
                </c:pt>
                <c:pt idx="32">
                  <c:v>0.12092121212121187</c:v>
                </c:pt>
                <c:pt idx="33">
                  <c:v>0.11126110139860121</c:v>
                </c:pt>
                <c:pt idx="34">
                  <c:v>0.10113006993006979</c:v>
                </c:pt>
                <c:pt idx="35">
                  <c:v>9.0558712121212054E-2</c:v>
                </c:pt>
                <c:pt idx="36">
                  <c:v>7.9577622377622226E-2</c:v>
                </c:pt>
                <c:pt idx="37">
                  <c:v>6.8217395104895051E-2</c:v>
                </c:pt>
                <c:pt idx="38">
                  <c:v>5.6508624708624611E-2</c:v>
                </c:pt>
                <c:pt idx="39">
                  <c:v>4.4481905594405569E-2</c:v>
                </c:pt>
                <c:pt idx="40">
                  <c:v>3.2167832167832144E-2</c:v>
                </c:pt>
                <c:pt idx="41">
                  <c:v>1.9596998834498947E-2</c:v>
                </c:pt>
                <c:pt idx="42">
                  <c:v>6.8000000000000282E-3</c:v>
                </c:pt>
                <c:pt idx="43">
                  <c:v>-6.1925699300700021E-3</c:v>
                </c:pt>
                <c:pt idx="44">
                  <c:v>-1.9350116550116481E-2</c:v>
                </c:pt>
                <c:pt idx="45">
                  <c:v>-3.2642045454545299E-2</c:v>
                </c:pt>
                <c:pt idx="46">
                  <c:v>-4.6037762237762292E-2</c:v>
                </c:pt>
                <c:pt idx="47">
                  <c:v>-5.9506672494172519E-2</c:v>
                </c:pt>
                <c:pt idx="48">
                  <c:v>-7.301818181818176E-2</c:v>
                </c:pt>
                <c:pt idx="49">
                  <c:v>-8.6541695804195684E-2</c:v>
                </c:pt>
                <c:pt idx="50">
                  <c:v>-0.10004662004661991</c:v>
                </c:pt>
                <c:pt idx="51">
                  <c:v>-0.11350236013986004</c:v>
                </c:pt>
                <c:pt idx="52">
                  <c:v>-0.12687832167832147</c:v>
                </c:pt>
                <c:pt idx="53">
                  <c:v>-0.14014391025641015</c:v>
                </c:pt>
                <c:pt idx="54">
                  <c:v>-0.15326853146853114</c:v>
                </c:pt>
                <c:pt idx="55">
                  <c:v>-0.16622159090909083</c:v>
                </c:pt>
                <c:pt idx="56">
                  <c:v>-0.17897249417249439</c:v>
                </c:pt>
                <c:pt idx="57">
                  <c:v>-0.19149064685314687</c:v>
                </c:pt>
                <c:pt idx="58">
                  <c:v>-0.20374545454545434</c:v>
                </c:pt>
                <c:pt idx="59">
                  <c:v>-0.21570632284382252</c:v>
                </c:pt>
                <c:pt idx="60">
                  <c:v>-0.22734265734265713</c:v>
                </c:pt>
                <c:pt idx="61">
                  <c:v>-0.23862386363636379</c:v>
                </c:pt>
                <c:pt idx="62">
                  <c:v>-0.24951934731934666</c:v>
                </c:pt>
                <c:pt idx="63">
                  <c:v>-0.25999851398601348</c:v>
                </c:pt>
                <c:pt idx="64">
                  <c:v>-0.27003076923076907</c:v>
                </c:pt>
                <c:pt idx="65">
                  <c:v>-0.27958551864801806</c:v>
                </c:pt>
                <c:pt idx="66">
                  <c:v>-0.2886321678321675</c:v>
                </c:pt>
                <c:pt idx="67">
                  <c:v>-0.29714012237762244</c:v>
                </c:pt>
                <c:pt idx="68">
                  <c:v>-0.30507878787878751</c:v>
                </c:pt>
                <c:pt idx="69">
                  <c:v>-0.31241756993006997</c:v>
                </c:pt>
                <c:pt idx="70">
                  <c:v>-0.31912587412587334</c:v>
                </c:pt>
                <c:pt idx="71">
                  <c:v>-0.32517310606060579</c:v>
                </c:pt>
                <c:pt idx="72">
                  <c:v>-0.33052867132867103</c:v>
                </c:pt>
                <c:pt idx="73">
                  <c:v>-0.3351619755244748</c:v>
                </c:pt>
                <c:pt idx="74">
                  <c:v>-0.33904242424242392</c:v>
                </c:pt>
                <c:pt idx="75">
                  <c:v>-0.3421394230769228</c:v>
                </c:pt>
                <c:pt idx="76">
                  <c:v>-0.3444223776223776</c:v>
                </c:pt>
                <c:pt idx="77">
                  <c:v>-0.34586069347319315</c:v>
                </c:pt>
                <c:pt idx="78">
                  <c:v>-0.34642377622377563</c:v>
                </c:pt>
                <c:pt idx="79">
                  <c:v>-0.3460810314685312</c:v>
                </c:pt>
                <c:pt idx="80">
                  <c:v>-0.3448018648018647</c:v>
                </c:pt>
                <c:pt idx="81">
                  <c:v>-0.34255568181818097</c:v>
                </c:pt>
                <c:pt idx="82">
                  <c:v>-0.33931188811188751</c:v>
                </c:pt>
                <c:pt idx="83">
                  <c:v>-0.3350398892773887</c:v>
                </c:pt>
                <c:pt idx="84">
                  <c:v>-0.32970909090909029</c:v>
                </c:pt>
                <c:pt idx="85">
                  <c:v>-0.32328889860139887</c:v>
                </c:pt>
                <c:pt idx="86">
                  <c:v>-0.31574871794871795</c:v>
                </c:pt>
                <c:pt idx="87">
                  <c:v>-0.30705795454545415</c:v>
                </c:pt>
                <c:pt idx="88">
                  <c:v>-0.29718601398601363</c:v>
                </c:pt>
                <c:pt idx="89">
                  <c:v>-0.28610230186480123</c:v>
                </c:pt>
                <c:pt idx="90">
                  <c:v>-0.27377622377622313</c:v>
                </c:pt>
                <c:pt idx="91">
                  <c:v>-0.26017718531468637</c:v>
                </c:pt>
                <c:pt idx="92">
                  <c:v>-0.24527459207459179</c:v>
                </c:pt>
                <c:pt idx="93">
                  <c:v>-0.22903784965034912</c:v>
                </c:pt>
                <c:pt idx="94">
                  <c:v>-0.21143636363636364</c:v>
                </c:pt>
                <c:pt idx="95">
                  <c:v>-0.1924395396270393</c:v>
                </c:pt>
                <c:pt idx="96">
                  <c:v>-0.17201678321678315</c:v>
                </c:pt>
                <c:pt idx="97">
                  <c:v>-0.15013750000000137</c:v>
                </c:pt>
                <c:pt idx="98">
                  <c:v>-0.12677109557109567</c:v>
                </c:pt>
                <c:pt idx="99">
                  <c:v>-0.10188697552447579</c:v>
                </c:pt>
                <c:pt idx="100">
                  <c:v>-7.5454545454546107E-2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F4-40AC-8C44-18FFF1D769B1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plus>
            <c:minus>
              <c:numRef>
                <c:f>Corrección!$E$213:$E$223</c:f>
                <c:numCache>
                  <c:formatCode>General</c:formatCode>
                  <c:ptCount val="11"/>
                  <c:pt idx="0">
                    <c:v>0.38</c:v>
                  </c:pt>
                  <c:pt idx="1">
                    <c:v>0.38</c:v>
                  </c:pt>
                  <c:pt idx="2">
                    <c:v>0.38</c:v>
                  </c:pt>
                  <c:pt idx="3">
                    <c:v>0.38</c:v>
                  </c:pt>
                  <c:pt idx="4">
                    <c:v>0.38</c:v>
                  </c:pt>
                  <c:pt idx="5">
                    <c:v>0.38</c:v>
                  </c:pt>
                  <c:pt idx="6">
                    <c:v>0.38</c:v>
                  </c:pt>
                  <c:pt idx="7">
                    <c:v>0.38</c:v>
                  </c:pt>
                  <c:pt idx="8">
                    <c:v>0.38</c:v>
                  </c:pt>
                  <c:pt idx="9">
                    <c:v>0.38</c:v>
                  </c:pt>
                  <c:pt idx="10">
                    <c:v>0.38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Corrección!$C$213:$C$223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</c:numCache>
            </c:numRef>
          </c:xVal>
          <c:yVal>
            <c:numRef>
              <c:f>Corrección!$D$213:$D$223</c:f>
              <c:numCache>
                <c:formatCode>General</c:formatCode>
                <c:ptCount val="11"/>
                <c:pt idx="0">
                  <c:v>0.01</c:v>
                </c:pt>
                <c:pt idx="1">
                  <c:v>0.12</c:v>
                </c:pt>
                <c:pt idx="2">
                  <c:v>0.18</c:v>
                </c:pt>
                <c:pt idx="3">
                  <c:v>0.17</c:v>
                </c:pt>
                <c:pt idx="4">
                  <c:v>0.08</c:v>
                </c:pt>
                <c:pt idx="5">
                  <c:v>-0.09</c:v>
                </c:pt>
                <c:pt idx="6">
                  <c:v>-0.28999999999999998</c:v>
                </c:pt>
                <c:pt idx="7">
                  <c:v>-0.4</c:v>
                </c:pt>
                <c:pt idx="8">
                  <c:v>-0.31</c:v>
                </c:pt>
                <c:pt idx="9">
                  <c:v>-0.16</c:v>
                </c:pt>
                <c:pt idx="10">
                  <c:v>-0.14000000000000001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F4-40AC-8C44-18FFF1D769B1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Corrección!$F$237:$F$246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plus>
            <c:minus>
              <c:numRef>
                <c:f>Corrección!$F$237:$F$246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F0"/>
                </a:solidFill>
                <a:round/>
              </a:ln>
              <a:effectLst/>
            </c:spPr>
          </c:errBars>
          <c:xVal>
            <c:numRef>
              <c:f>Corrección!$C$237:$C$246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Corrección!$D$237:$D$246</c:f>
              <c:numCache>
                <c:formatCode>0.0000</c:formatCode>
                <c:ptCount val="10"/>
                <c:pt idx="0">
                  <c:v>-1.6783216783218258E-3</c:v>
                </c:pt>
                <c:pt idx="1">
                  <c:v>-1.6783216783218258E-3</c:v>
                </c:pt>
                <c:pt idx="2">
                  <c:v>-1.6783216783218258E-3</c:v>
                </c:pt>
                <c:pt idx="3">
                  <c:v>-1.6783216783218258E-3</c:v>
                </c:pt>
                <c:pt idx="4">
                  <c:v>-1.6783216783218258E-3</c:v>
                </c:pt>
                <c:pt idx="5">
                  <c:v>-1.6783216783218258E-3</c:v>
                </c:pt>
                <c:pt idx="6">
                  <c:v>-1.6783216783218258E-3</c:v>
                </c:pt>
                <c:pt idx="7">
                  <c:v>-1.6783216783218258E-3</c:v>
                </c:pt>
                <c:pt idx="8">
                  <c:v>-1.6783216783218258E-3</c:v>
                </c:pt>
                <c:pt idx="9">
                  <c:v>-1.6783216783218258E-3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9F4-40AC-8C44-18FFF1D769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Indicación del </a:t>
                </a:r>
                <a:r>
                  <a:rPr lang="en-US" sz="1100" b="0" i="0" u="none" strike="noStrike" baseline="0">
                    <a:effectLst/>
                  </a:rPr>
                  <a:t>manómetro</a:t>
                </a:r>
                <a:r>
                  <a:rPr lang="en-US" sz="1100">
                    <a:solidFill>
                      <a:schemeClr val="tx1"/>
                    </a:solidFill>
                  </a:rPr>
                  <a:t>,</a:t>
                </a:r>
                <a:r>
                  <a:rPr lang="en-US" sz="1100" baseline="0">
                    <a:solidFill>
                      <a:schemeClr val="tx1"/>
                    </a:solidFill>
                  </a:rPr>
                  <a:t> [psi]</a:t>
                </a: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accent3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Corrección a la indicación, [psi]</a:t>
                </a:r>
              </a:p>
              <a:p>
                <a:pPr>
                  <a:defRPr sz="1100">
                    <a:solidFill>
                      <a:schemeClr val="tx1"/>
                    </a:solidFill>
                  </a:defRPr>
                </a:pPr>
                <a:endParaRPr lang="en-US" sz="11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n-US" b="1" i="0">
                <a:solidFill>
                  <a:srgbClr val="002060"/>
                </a:solidFill>
              </a:rPr>
              <a:t>Curva</a:t>
            </a:r>
            <a:r>
              <a:rPr lang="en-US" b="1" i="0" baseline="0">
                <a:solidFill>
                  <a:srgbClr val="002060"/>
                </a:solidFill>
              </a:rPr>
              <a:t> de r</a:t>
            </a:r>
            <a:r>
              <a:rPr lang="en-US" b="1" i="0">
                <a:solidFill>
                  <a:srgbClr val="002060"/>
                </a:solidFill>
              </a:rPr>
              <a:t>egresión</a:t>
            </a:r>
            <a:r>
              <a:rPr lang="en-US" b="1" i="0" baseline="0">
                <a:solidFill>
                  <a:srgbClr val="002060"/>
                </a:solidFill>
              </a:rPr>
              <a:t> de los resultados de calibración P004-2 (t.amb)</a:t>
            </a:r>
            <a:endParaRPr lang="en-US" b="1" i="0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Corrección!$C$732:$C$832</c:f>
              <c:numCache>
                <c:formatCode>0.0000</c:formatCode>
                <c:ptCount val="101"/>
                <c:pt idx="0">
                  <c:v>15.3</c:v>
                </c:pt>
                <c:pt idx="1">
                  <c:v>15.536000000000001</c:v>
                </c:pt>
                <c:pt idx="2">
                  <c:v>15.772000000000002</c:v>
                </c:pt>
                <c:pt idx="3">
                  <c:v>16.008000000000003</c:v>
                </c:pt>
                <c:pt idx="4">
                  <c:v>16.244000000000003</c:v>
                </c:pt>
                <c:pt idx="5">
                  <c:v>16.480000000000004</c:v>
                </c:pt>
                <c:pt idx="6">
                  <c:v>16.716000000000005</c:v>
                </c:pt>
                <c:pt idx="7">
                  <c:v>16.952000000000005</c:v>
                </c:pt>
                <c:pt idx="8">
                  <c:v>17.188000000000006</c:v>
                </c:pt>
                <c:pt idx="9">
                  <c:v>17.424000000000007</c:v>
                </c:pt>
                <c:pt idx="10">
                  <c:v>17.660000000000007</c:v>
                </c:pt>
                <c:pt idx="11">
                  <c:v>17.896000000000008</c:v>
                </c:pt>
                <c:pt idx="12">
                  <c:v>18.132000000000009</c:v>
                </c:pt>
                <c:pt idx="13">
                  <c:v>18.368000000000009</c:v>
                </c:pt>
                <c:pt idx="14">
                  <c:v>18.60400000000001</c:v>
                </c:pt>
                <c:pt idx="15">
                  <c:v>18.840000000000011</c:v>
                </c:pt>
                <c:pt idx="16">
                  <c:v>19.076000000000011</c:v>
                </c:pt>
                <c:pt idx="17">
                  <c:v>19.312000000000012</c:v>
                </c:pt>
                <c:pt idx="18">
                  <c:v>19.548000000000012</c:v>
                </c:pt>
                <c:pt idx="19">
                  <c:v>19.784000000000013</c:v>
                </c:pt>
                <c:pt idx="20">
                  <c:v>20.020000000000014</c:v>
                </c:pt>
                <c:pt idx="21">
                  <c:v>20.256000000000014</c:v>
                </c:pt>
                <c:pt idx="22">
                  <c:v>20.492000000000015</c:v>
                </c:pt>
                <c:pt idx="23">
                  <c:v>20.728000000000016</c:v>
                </c:pt>
                <c:pt idx="24">
                  <c:v>20.964000000000016</c:v>
                </c:pt>
                <c:pt idx="25">
                  <c:v>21.200000000000017</c:v>
                </c:pt>
                <c:pt idx="26">
                  <c:v>21.436000000000018</c:v>
                </c:pt>
                <c:pt idx="27">
                  <c:v>21.672000000000018</c:v>
                </c:pt>
                <c:pt idx="28">
                  <c:v>21.908000000000019</c:v>
                </c:pt>
                <c:pt idx="29">
                  <c:v>22.14400000000002</c:v>
                </c:pt>
                <c:pt idx="30">
                  <c:v>22.38000000000002</c:v>
                </c:pt>
                <c:pt idx="31">
                  <c:v>22.616000000000021</c:v>
                </c:pt>
                <c:pt idx="32">
                  <c:v>22.852000000000022</c:v>
                </c:pt>
                <c:pt idx="33">
                  <c:v>23.088000000000022</c:v>
                </c:pt>
                <c:pt idx="34">
                  <c:v>23.324000000000023</c:v>
                </c:pt>
                <c:pt idx="35">
                  <c:v>23.560000000000024</c:v>
                </c:pt>
                <c:pt idx="36">
                  <c:v>23.796000000000024</c:v>
                </c:pt>
                <c:pt idx="37">
                  <c:v>24.032000000000025</c:v>
                </c:pt>
                <c:pt idx="38">
                  <c:v>24.268000000000026</c:v>
                </c:pt>
                <c:pt idx="39">
                  <c:v>24.504000000000026</c:v>
                </c:pt>
                <c:pt idx="40">
                  <c:v>24.740000000000027</c:v>
                </c:pt>
                <c:pt idx="41">
                  <c:v>24.976000000000028</c:v>
                </c:pt>
                <c:pt idx="42">
                  <c:v>25.212000000000028</c:v>
                </c:pt>
                <c:pt idx="43">
                  <c:v>25.448000000000029</c:v>
                </c:pt>
                <c:pt idx="44">
                  <c:v>25.684000000000029</c:v>
                </c:pt>
                <c:pt idx="45">
                  <c:v>25.92000000000003</c:v>
                </c:pt>
                <c:pt idx="46">
                  <c:v>26.156000000000031</c:v>
                </c:pt>
                <c:pt idx="47">
                  <c:v>26.392000000000031</c:v>
                </c:pt>
                <c:pt idx="48">
                  <c:v>26.628000000000032</c:v>
                </c:pt>
                <c:pt idx="49">
                  <c:v>26.864000000000033</c:v>
                </c:pt>
                <c:pt idx="50">
                  <c:v>27.100000000000033</c:v>
                </c:pt>
                <c:pt idx="51">
                  <c:v>27.336000000000034</c:v>
                </c:pt>
                <c:pt idx="52">
                  <c:v>27.572000000000035</c:v>
                </c:pt>
                <c:pt idx="53">
                  <c:v>27.808000000000035</c:v>
                </c:pt>
                <c:pt idx="54">
                  <c:v>28.044000000000036</c:v>
                </c:pt>
                <c:pt idx="55">
                  <c:v>28.280000000000037</c:v>
                </c:pt>
                <c:pt idx="56">
                  <c:v>28.516000000000037</c:v>
                </c:pt>
                <c:pt idx="57">
                  <c:v>28.752000000000038</c:v>
                </c:pt>
                <c:pt idx="58">
                  <c:v>28.988000000000039</c:v>
                </c:pt>
                <c:pt idx="59">
                  <c:v>29.224000000000039</c:v>
                </c:pt>
                <c:pt idx="60">
                  <c:v>29.46000000000004</c:v>
                </c:pt>
                <c:pt idx="61">
                  <c:v>29.696000000000041</c:v>
                </c:pt>
                <c:pt idx="62">
                  <c:v>29.932000000000041</c:v>
                </c:pt>
                <c:pt idx="63">
                  <c:v>30.168000000000042</c:v>
                </c:pt>
                <c:pt idx="64">
                  <c:v>30.404000000000043</c:v>
                </c:pt>
                <c:pt idx="65">
                  <c:v>30.640000000000043</c:v>
                </c:pt>
                <c:pt idx="66">
                  <c:v>30.876000000000044</c:v>
                </c:pt>
                <c:pt idx="67">
                  <c:v>31.112000000000045</c:v>
                </c:pt>
                <c:pt idx="68">
                  <c:v>31.348000000000045</c:v>
                </c:pt>
                <c:pt idx="69">
                  <c:v>31.584000000000046</c:v>
                </c:pt>
                <c:pt idx="70">
                  <c:v>31.820000000000046</c:v>
                </c:pt>
                <c:pt idx="71">
                  <c:v>32.056000000000047</c:v>
                </c:pt>
                <c:pt idx="72">
                  <c:v>32.292000000000044</c:v>
                </c:pt>
                <c:pt idx="73">
                  <c:v>32.528000000000041</c:v>
                </c:pt>
                <c:pt idx="74">
                  <c:v>32.764000000000038</c:v>
                </c:pt>
                <c:pt idx="75">
                  <c:v>33.000000000000036</c:v>
                </c:pt>
                <c:pt idx="76">
                  <c:v>33.236000000000033</c:v>
                </c:pt>
                <c:pt idx="77">
                  <c:v>33.47200000000003</c:v>
                </c:pt>
                <c:pt idx="78">
                  <c:v>33.708000000000027</c:v>
                </c:pt>
                <c:pt idx="79">
                  <c:v>33.944000000000024</c:v>
                </c:pt>
                <c:pt idx="80">
                  <c:v>34.180000000000021</c:v>
                </c:pt>
                <c:pt idx="81">
                  <c:v>34.416000000000018</c:v>
                </c:pt>
                <c:pt idx="82">
                  <c:v>34.652000000000015</c:v>
                </c:pt>
                <c:pt idx="83">
                  <c:v>34.888000000000012</c:v>
                </c:pt>
                <c:pt idx="84">
                  <c:v>35.124000000000009</c:v>
                </c:pt>
                <c:pt idx="85">
                  <c:v>35.360000000000007</c:v>
                </c:pt>
                <c:pt idx="86">
                  <c:v>35.596000000000004</c:v>
                </c:pt>
                <c:pt idx="87">
                  <c:v>35.832000000000001</c:v>
                </c:pt>
                <c:pt idx="88">
                  <c:v>36.067999999999998</c:v>
                </c:pt>
                <c:pt idx="89">
                  <c:v>36.303999999999995</c:v>
                </c:pt>
                <c:pt idx="90">
                  <c:v>36.539999999999992</c:v>
                </c:pt>
                <c:pt idx="91">
                  <c:v>36.775999999999989</c:v>
                </c:pt>
                <c:pt idx="92">
                  <c:v>37.011999999999986</c:v>
                </c:pt>
                <c:pt idx="93">
                  <c:v>37.247999999999983</c:v>
                </c:pt>
                <c:pt idx="94">
                  <c:v>37.48399999999998</c:v>
                </c:pt>
                <c:pt idx="95">
                  <c:v>37.719999999999978</c:v>
                </c:pt>
                <c:pt idx="96">
                  <c:v>37.955999999999975</c:v>
                </c:pt>
                <c:pt idx="97">
                  <c:v>38.191999999999972</c:v>
                </c:pt>
                <c:pt idx="98">
                  <c:v>38.427999999999969</c:v>
                </c:pt>
                <c:pt idx="99">
                  <c:v>38.663999999999966</c:v>
                </c:pt>
                <c:pt idx="100">
                  <c:v>38.899999999999963</c:v>
                </c:pt>
              </c:numCache>
            </c:numRef>
          </c:xVal>
          <c:yVal>
            <c:numRef>
              <c:f>Corrección!$D$732:$D$832</c:f>
              <c:numCache>
                <c:formatCode>0.0000</c:formatCode>
                <c:ptCount val="101"/>
                <c:pt idx="0">
                  <c:v>-2.8580885395118161E-2</c:v>
                </c:pt>
                <c:pt idx="1">
                  <c:v>-1.5767852709971164E-2</c:v>
                </c:pt>
                <c:pt idx="2">
                  <c:v>-2.9548200248242784E-3</c:v>
                </c:pt>
                <c:pt idx="3">
                  <c:v>9.8582126603226072E-3</c:v>
                </c:pt>
                <c:pt idx="4">
                  <c:v>2.2671245345469493E-2</c:v>
                </c:pt>
                <c:pt idx="5">
                  <c:v>3.548427803061649E-2</c:v>
                </c:pt>
                <c:pt idx="6">
                  <c:v>4.8297310715763375E-2</c:v>
                </c:pt>
                <c:pt idx="7">
                  <c:v>6.1110343400910261E-2</c:v>
                </c:pt>
                <c:pt idx="8">
                  <c:v>7.3923376086057146E-2</c:v>
                </c:pt>
                <c:pt idx="9">
                  <c:v>8.6736408771204143E-2</c:v>
                </c:pt>
                <c:pt idx="10">
                  <c:v>9.9549441456351029E-2</c:v>
                </c:pt>
                <c:pt idx="11">
                  <c:v>0.11236247414149791</c:v>
                </c:pt>
                <c:pt idx="12">
                  <c:v>0.1251755068266448</c:v>
                </c:pt>
                <c:pt idx="13">
                  <c:v>0.1379885395117918</c:v>
                </c:pt>
                <c:pt idx="14">
                  <c:v>0.15080157219693868</c:v>
                </c:pt>
                <c:pt idx="15">
                  <c:v>0.16361460488208568</c:v>
                </c:pt>
                <c:pt idx="16">
                  <c:v>0.17642763756723245</c:v>
                </c:pt>
                <c:pt idx="17">
                  <c:v>0.18924067025237945</c:v>
                </c:pt>
                <c:pt idx="18">
                  <c:v>0.20205370293752623</c:v>
                </c:pt>
                <c:pt idx="19">
                  <c:v>0.21486673562267322</c:v>
                </c:pt>
                <c:pt idx="20">
                  <c:v>0.22767976830782022</c:v>
                </c:pt>
                <c:pt idx="21">
                  <c:v>0.24049280099296699</c:v>
                </c:pt>
                <c:pt idx="22">
                  <c:v>0.25330583367811399</c:v>
                </c:pt>
                <c:pt idx="23">
                  <c:v>0.26611886636326099</c:v>
                </c:pt>
                <c:pt idx="24">
                  <c:v>0.27893189904840776</c:v>
                </c:pt>
                <c:pt idx="25">
                  <c:v>0.29174493173355476</c:v>
                </c:pt>
                <c:pt idx="26">
                  <c:v>0.30455796441870153</c:v>
                </c:pt>
                <c:pt idx="27">
                  <c:v>0.31737099710384853</c:v>
                </c:pt>
                <c:pt idx="28">
                  <c:v>0.33018402978899553</c:v>
                </c:pt>
                <c:pt idx="29">
                  <c:v>0.3429970624741423</c:v>
                </c:pt>
                <c:pt idx="30">
                  <c:v>0.3558100951592893</c:v>
                </c:pt>
                <c:pt idx="31">
                  <c:v>0.36862312784443629</c:v>
                </c:pt>
                <c:pt idx="32">
                  <c:v>0.38143616052958307</c:v>
                </c:pt>
                <c:pt idx="33">
                  <c:v>0.39424919321473006</c:v>
                </c:pt>
                <c:pt idx="34">
                  <c:v>0.40706222589987684</c:v>
                </c:pt>
                <c:pt idx="35">
                  <c:v>0.41987525858502384</c:v>
                </c:pt>
                <c:pt idx="36">
                  <c:v>0.43268829127017083</c:v>
                </c:pt>
                <c:pt idx="37">
                  <c:v>0.44550132395531761</c:v>
                </c:pt>
                <c:pt idx="38">
                  <c:v>0.4583143566404646</c:v>
                </c:pt>
                <c:pt idx="39">
                  <c:v>0.4711273893256116</c:v>
                </c:pt>
                <c:pt idx="40">
                  <c:v>0.48394042201075838</c:v>
                </c:pt>
                <c:pt idx="41">
                  <c:v>0.49675345469590537</c:v>
                </c:pt>
                <c:pt idx="42">
                  <c:v>0.50956648738105215</c:v>
                </c:pt>
                <c:pt idx="43">
                  <c:v>0.52237952006619914</c:v>
                </c:pt>
                <c:pt idx="44">
                  <c:v>0.53519255275134614</c:v>
                </c:pt>
                <c:pt idx="45">
                  <c:v>0.54800558543649291</c:v>
                </c:pt>
                <c:pt idx="46">
                  <c:v>0.56081861812163991</c:v>
                </c:pt>
                <c:pt idx="47">
                  <c:v>0.57363165080678691</c:v>
                </c:pt>
                <c:pt idx="48">
                  <c:v>0.58644468349193368</c:v>
                </c:pt>
                <c:pt idx="49">
                  <c:v>0.59925771617708068</c:v>
                </c:pt>
                <c:pt idx="50">
                  <c:v>0.61207074886222745</c:v>
                </c:pt>
                <c:pt idx="51">
                  <c:v>0.62488378154737445</c:v>
                </c:pt>
                <c:pt idx="52">
                  <c:v>0.63769681423252145</c:v>
                </c:pt>
                <c:pt idx="53">
                  <c:v>0.65050984691766822</c:v>
                </c:pt>
                <c:pt idx="54">
                  <c:v>0.66332287960281522</c:v>
                </c:pt>
                <c:pt idx="55">
                  <c:v>0.67613591228796222</c:v>
                </c:pt>
                <c:pt idx="56">
                  <c:v>0.68894894497310899</c:v>
                </c:pt>
                <c:pt idx="57">
                  <c:v>0.70176197765825599</c:v>
                </c:pt>
                <c:pt idx="58">
                  <c:v>0.71457501034340276</c:v>
                </c:pt>
                <c:pt idx="59">
                  <c:v>0.72738804302854976</c:v>
                </c:pt>
                <c:pt idx="60">
                  <c:v>0.74020107571369675</c:v>
                </c:pt>
                <c:pt idx="61">
                  <c:v>0.75301410839884353</c:v>
                </c:pt>
                <c:pt idx="62">
                  <c:v>0.76582714108399053</c:v>
                </c:pt>
                <c:pt idx="63">
                  <c:v>0.7786401737691373</c:v>
                </c:pt>
                <c:pt idx="64">
                  <c:v>0.7914532064542843</c:v>
                </c:pt>
                <c:pt idx="65">
                  <c:v>0.80426623913943129</c:v>
                </c:pt>
                <c:pt idx="66">
                  <c:v>0.81707927182457807</c:v>
                </c:pt>
                <c:pt idx="67">
                  <c:v>0.82989230450972507</c:v>
                </c:pt>
                <c:pt idx="68">
                  <c:v>0.84270533719487206</c:v>
                </c:pt>
                <c:pt idx="69">
                  <c:v>0.85551836988001884</c:v>
                </c:pt>
                <c:pt idx="70">
                  <c:v>0.86833140256516583</c:v>
                </c:pt>
                <c:pt idx="71">
                  <c:v>0.88114443525031261</c:v>
                </c:pt>
                <c:pt idx="72">
                  <c:v>0.89395746793545938</c:v>
                </c:pt>
                <c:pt idx="73">
                  <c:v>0.90677050062060616</c:v>
                </c:pt>
                <c:pt idx="74">
                  <c:v>0.91958353330575293</c:v>
                </c:pt>
                <c:pt idx="75">
                  <c:v>0.93239656599089948</c:v>
                </c:pt>
                <c:pt idx="76">
                  <c:v>0.94520959867604626</c:v>
                </c:pt>
                <c:pt idx="77">
                  <c:v>0.95802263136119303</c:v>
                </c:pt>
                <c:pt idx="78">
                  <c:v>0.97083566404633981</c:v>
                </c:pt>
                <c:pt idx="79">
                  <c:v>0.98364869673148658</c:v>
                </c:pt>
                <c:pt idx="80">
                  <c:v>0.99646172941663314</c:v>
                </c:pt>
                <c:pt idx="81">
                  <c:v>1.0092747621017799</c:v>
                </c:pt>
                <c:pt idx="82">
                  <c:v>1.0220877947869267</c:v>
                </c:pt>
                <c:pt idx="83">
                  <c:v>1.0349008274720735</c:v>
                </c:pt>
                <c:pt idx="84">
                  <c:v>1.04771386015722</c:v>
                </c:pt>
                <c:pt idx="85">
                  <c:v>1.0605268928423668</c:v>
                </c:pt>
                <c:pt idx="86">
                  <c:v>1.0733399255275136</c:v>
                </c:pt>
                <c:pt idx="87">
                  <c:v>1.0861529582126603</c:v>
                </c:pt>
                <c:pt idx="88">
                  <c:v>1.0989659908978069</c:v>
                </c:pt>
                <c:pt idx="89">
                  <c:v>1.1117790235829537</c:v>
                </c:pt>
                <c:pt idx="90">
                  <c:v>1.1245920562681004</c:v>
                </c:pt>
                <c:pt idx="91">
                  <c:v>1.1374050889532472</c:v>
                </c:pt>
                <c:pt idx="92">
                  <c:v>1.1502181216383938</c:v>
                </c:pt>
                <c:pt idx="93">
                  <c:v>1.1630311543235408</c:v>
                </c:pt>
                <c:pt idx="94">
                  <c:v>1.1758441870086873</c:v>
                </c:pt>
                <c:pt idx="95">
                  <c:v>1.1886572196938339</c:v>
                </c:pt>
                <c:pt idx="96">
                  <c:v>1.2014702523789809</c:v>
                </c:pt>
                <c:pt idx="97">
                  <c:v>1.2142832850641274</c:v>
                </c:pt>
                <c:pt idx="98">
                  <c:v>1.227096317749274</c:v>
                </c:pt>
                <c:pt idx="99">
                  <c:v>1.239909350434421</c:v>
                </c:pt>
                <c:pt idx="100">
                  <c:v>1.2527223831195675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B2-42BC-885D-86C64DD7C94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2700">
                <a:solidFill>
                  <a:srgbClr val="00206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Corrección!$E$414:$E$417</c:f>
                <c:numCache>
                  <c:formatCode>General</c:formatCode>
                  <c:ptCount val="4"/>
                  <c:pt idx="0">
                    <c:v>0.31</c:v>
                  </c:pt>
                  <c:pt idx="1">
                    <c:v>0.33</c:v>
                  </c:pt>
                  <c:pt idx="2">
                    <c:v>0.33</c:v>
                  </c:pt>
                  <c:pt idx="3">
                    <c:v>0.33</c:v>
                  </c:pt>
                </c:numCache>
              </c:numRef>
            </c:plus>
            <c:minus>
              <c:numRef>
                <c:f>Corrección!$E$414:$E$417</c:f>
                <c:numCache>
                  <c:formatCode>General</c:formatCode>
                  <c:ptCount val="4"/>
                  <c:pt idx="0">
                    <c:v>0.31</c:v>
                  </c:pt>
                  <c:pt idx="1">
                    <c:v>0.33</c:v>
                  </c:pt>
                  <c:pt idx="2">
                    <c:v>0.33</c:v>
                  </c:pt>
                  <c:pt idx="3">
                    <c:v>0.33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</c:errBars>
          <c:xVal>
            <c:numRef>
              <c:f>Corrección!$C$414:$C$417</c:f>
              <c:numCache>
                <c:formatCode>General</c:formatCode>
                <c:ptCount val="4"/>
                <c:pt idx="0">
                  <c:v>15.3</c:v>
                </c:pt>
                <c:pt idx="1">
                  <c:v>24.9</c:v>
                </c:pt>
                <c:pt idx="2">
                  <c:v>29.7</c:v>
                </c:pt>
                <c:pt idx="3">
                  <c:v>38.9</c:v>
                </c:pt>
              </c:numCache>
            </c:numRef>
          </c:xVal>
          <c:yVal>
            <c:numRef>
              <c:f>Corrección!$D$414:$D$417</c:f>
              <c:numCache>
                <c:formatCode>General</c:formatCode>
                <c:ptCount val="4"/>
                <c:pt idx="0">
                  <c:v>-0.14000000000000001</c:v>
                </c:pt>
                <c:pt idx="1">
                  <c:v>0.63</c:v>
                </c:pt>
                <c:pt idx="2">
                  <c:v>0.83</c:v>
                </c:pt>
                <c:pt idx="3">
                  <c:v>1.1499999999999999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B2-42BC-885D-86C64DD7C944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xVal>
            <c:numRef>
              <c:f>Corrección!$E$429:$E$430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Corrección!$F$429:$F$430</c:f>
              <c:numCache>
                <c:formatCode>0.0000</c:formatCode>
                <c:ptCount val="2"/>
                <c:pt idx="0">
                  <c:v>-0.85925630947455556</c:v>
                </c:pt>
                <c:pt idx="1">
                  <c:v>-0.85925630947455556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B2-42BC-885D-86C64DD7C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663912"/>
        <c:axId val="660667192"/>
      </c:scatterChart>
      <c:valAx>
        <c:axId val="660663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Indicación del sensor,</a:t>
                </a:r>
                <a:r>
                  <a:rPr lang="en-US" sz="1100" baseline="0">
                    <a:solidFill>
                      <a:srgbClr val="002060"/>
                    </a:solidFill>
                  </a:rPr>
                  <a:t> [°C]</a:t>
                </a: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7192"/>
        <c:crosses val="autoZero"/>
        <c:crossBetween val="midCat"/>
      </c:valAx>
      <c:valAx>
        <c:axId val="660667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rgbClr val="002060"/>
                    </a:solidFill>
                  </a:rPr>
                  <a:t>Corrección a la indicación, [°C]</a:t>
                </a:r>
              </a:p>
              <a:p>
                <a:pPr>
                  <a:defRPr sz="1100">
                    <a:solidFill>
                      <a:srgbClr val="002060"/>
                    </a:solidFill>
                  </a:defRPr>
                </a:pPr>
                <a:endParaRPr lang="en-US" sz="1100">
                  <a:solidFill>
                    <a:srgbClr val="00206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663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40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4.png"/><Relationship Id="rId1" Type="http://schemas.openxmlformats.org/officeDocument/2006/relationships/image" Target="../media/image1.pn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image" Target="../media/image9.png"/><Relationship Id="rId18" Type="http://schemas.openxmlformats.org/officeDocument/2006/relationships/chart" Target="../charts/chart19.xml"/><Relationship Id="rId26" Type="http://schemas.openxmlformats.org/officeDocument/2006/relationships/chart" Target="../charts/chart27.xml"/><Relationship Id="rId3" Type="http://schemas.openxmlformats.org/officeDocument/2006/relationships/chart" Target="../charts/chart7.xml"/><Relationship Id="rId21" Type="http://schemas.openxmlformats.org/officeDocument/2006/relationships/chart" Target="../charts/chart22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18.xml"/><Relationship Id="rId25" Type="http://schemas.openxmlformats.org/officeDocument/2006/relationships/chart" Target="../charts/chart26.xml"/><Relationship Id="rId2" Type="http://schemas.openxmlformats.org/officeDocument/2006/relationships/chart" Target="../charts/chart6.xml"/><Relationship Id="rId16" Type="http://schemas.openxmlformats.org/officeDocument/2006/relationships/chart" Target="../charts/chart17.xml"/><Relationship Id="rId20" Type="http://schemas.openxmlformats.org/officeDocument/2006/relationships/chart" Target="../charts/chart21.xml"/><Relationship Id="rId29" Type="http://schemas.openxmlformats.org/officeDocument/2006/relationships/chart" Target="../charts/chart30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24" Type="http://schemas.openxmlformats.org/officeDocument/2006/relationships/chart" Target="../charts/chart25.xml"/><Relationship Id="rId5" Type="http://schemas.openxmlformats.org/officeDocument/2006/relationships/chart" Target="../charts/chart9.xml"/><Relationship Id="rId15" Type="http://schemas.openxmlformats.org/officeDocument/2006/relationships/image" Target="../media/image11.png"/><Relationship Id="rId23" Type="http://schemas.openxmlformats.org/officeDocument/2006/relationships/chart" Target="../charts/chart24.xml"/><Relationship Id="rId28" Type="http://schemas.openxmlformats.org/officeDocument/2006/relationships/chart" Target="../charts/chart29.xml"/><Relationship Id="rId10" Type="http://schemas.openxmlformats.org/officeDocument/2006/relationships/chart" Target="../charts/chart14.xml"/><Relationship Id="rId19" Type="http://schemas.openxmlformats.org/officeDocument/2006/relationships/chart" Target="../charts/chart20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image" Target="../media/image10.png"/><Relationship Id="rId22" Type="http://schemas.openxmlformats.org/officeDocument/2006/relationships/chart" Target="../charts/chart23.xml"/><Relationship Id="rId27" Type="http://schemas.openxmlformats.org/officeDocument/2006/relationships/chart" Target="../charts/chart28.xml"/><Relationship Id="rId30" Type="http://schemas.openxmlformats.org/officeDocument/2006/relationships/chart" Target="../charts/chart3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7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641350</xdr:colOff>
      <xdr:row>0</xdr:row>
      <xdr:rowOff>88900</xdr:rowOff>
    </xdr:from>
    <xdr:to>
      <xdr:col>2</xdr:col>
      <xdr:colOff>165100</xdr:colOff>
      <xdr:row>5</xdr:row>
      <xdr:rowOff>105588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781B6E57-A1D4-472C-A0EF-FD32AEE36D0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1350" y="88900"/>
          <a:ext cx="1168400" cy="969188"/>
        </a:xfrm>
        <a:prstGeom prst="rect">
          <a:avLst/>
        </a:prstGeom>
        <a:ln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673100</xdr:colOff>
      <xdr:row>0</xdr:row>
      <xdr:rowOff>88900</xdr:rowOff>
    </xdr:from>
    <xdr:to>
      <xdr:col>2</xdr:col>
      <xdr:colOff>76200</xdr:colOff>
      <xdr:row>5</xdr:row>
      <xdr:rowOff>105588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E780F17-2BD8-4BCB-BC2A-42C81D9276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73100" y="88900"/>
          <a:ext cx="1168400" cy="969188"/>
        </a:xfrm>
        <a:prstGeom prst="rect">
          <a:avLst/>
        </a:prstGeom>
        <a:ln/>
      </xdr:spPr>
    </xdr:pic>
    <xdr:clientData/>
  </xdr:twoCellAnchor>
  <xdr:twoCellAnchor editAs="oneCell">
    <xdr:from>
      <xdr:col>1</xdr:col>
      <xdr:colOff>228601</xdr:colOff>
      <xdr:row>11</xdr:row>
      <xdr:rowOff>85528</xdr:rowOff>
    </xdr:from>
    <xdr:to>
      <xdr:col>2</xdr:col>
      <xdr:colOff>666751</xdr:colOff>
      <xdr:row>21</xdr:row>
      <xdr:rowOff>31222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34F5501-5807-4C7B-A409-CF02B32E4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1251" y="2282628"/>
          <a:ext cx="1320800" cy="1709724"/>
        </a:xfrm>
        <a:prstGeom prst="rect">
          <a:avLst/>
        </a:prstGeom>
      </xdr:spPr>
    </xdr:pic>
    <xdr:clientData/>
  </xdr:twoCellAnchor>
  <xdr:twoCellAnchor>
    <xdr:from>
      <xdr:col>1</xdr:col>
      <xdr:colOff>9524</xdr:colOff>
      <xdr:row>108</xdr:row>
      <xdr:rowOff>9524</xdr:rowOff>
    </xdr:from>
    <xdr:to>
      <xdr:col>11</xdr:col>
      <xdr:colOff>825500</xdr:colOff>
      <xdr:row>128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D5CA0BC-B0CF-4651-A590-36AE071E1F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132</xdr:row>
      <xdr:rowOff>15874</xdr:rowOff>
    </xdr:from>
    <xdr:to>
      <xdr:col>11</xdr:col>
      <xdr:colOff>876301</xdr:colOff>
      <xdr:row>156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DA37AD5-1106-4A64-8801-A054BDB170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3175</xdr:colOff>
      <xdr:row>159</xdr:row>
      <xdr:rowOff>3174</xdr:rowOff>
    </xdr:from>
    <xdr:to>
      <xdr:col>11</xdr:col>
      <xdr:colOff>863601</xdr:colOff>
      <xdr:row>182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E715E04-2F5E-43F9-9C06-F7D32E70C8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6350</xdr:colOff>
      <xdr:row>184</xdr:row>
      <xdr:rowOff>12700</xdr:rowOff>
    </xdr:from>
    <xdr:to>
      <xdr:col>11</xdr:col>
      <xdr:colOff>866776</xdr:colOff>
      <xdr:row>207</xdr:row>
      <xdr:rowOff>161926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5A26BC0-94F8-452E-B8EE-8837BEC942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331259</xdr:colOff>
      <xdr:row>0</xdr:row>
      <xdr:rowOff>88194</xdr:rowOff>
    </xdr:from>
    <xdr:to>
      <xdr:col>2</xdr:col>
      <xdr:colOff>340277</xdr:colOff>
      <xdr:row>5</xdr:row>
      <xdr:rowOff>104882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83621C9D-74D9-424D-81F6-418A2CAFC3D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1259" y="88194"/>
          <a:ext cx="1171068" cy="969188"/>
        </a:xfrm>
        <a:prstGeom prst="rect">
          <a:avLst/>
        </a:prstGeom>
        <a:ln/>
      </xdr:spPr>
    </xdr:pic>
    <xdr:clientData/>
  </xdr:twoCellAnchor>
  <xdr:oneCellAnchor>
    <xdr:from>
      <xdr:col>8</xdr:col>
      <xdr:colOff>403577</xdr:colOff>
      <xdr:row>179</xdr:row>
      <xdr:rowOff>135466</xdr:rowOff>
    </xdr:from>
    <xdr:ext cx="65" cy="172227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32D934C8-906D-4837-AA06-1A5DCA1370E9}"/>
            </a:ext>
          </a:extLst>
        </xdr:cNvPr>
        <xdr:cNvSpPr txBox="1"/>
      </xdr:nvSpPr>
      <xdr:spPr>
        <a:xfrm>
          <a:off x="6080477" y="4204546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12</xdr:col>
      <xdr:colOff>173249</xdr:colOff>
      <xdr:row>197</xdr:row>
      <xdr:rowOff>20799</xdr:rowOff>
    </xdr:from>
    <xdr:to>
      <xdr:col>14</xdr:col>
      <xdr:colOff>602663</xdr:colOff>
      <xdr:row>200</xdr:row>
      <xdr:rowOff>100359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79B6C60F-58F5-4882-8A94-98E22741E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55174" y="39492399"/>
          <a:ext cx="2010564" cy="651060"/>
        </a:xfrm>
        <a:prstGeom prst="rect">
          <a:avLst/>
        </a:prstGeom>
      </xdr:spPr>
    </xdr:pic>
    <xdr:clientData/>
  </xdr:twoCellAnchor>
  <xdr:twoCellAnchor>
    <xdr:from>
      <xdr:col>2</xdr:col>
      <xdr:colOff>241300</xdr:colOff>
      <xdr:row>146</xdr:row>
      <xdr:rowOff>203200</xdr:rowOff>
    </xdr:from>
    <xdr:to>
      <xdr:col>15</xdr:col>
      <xdr:colOff>0</xdr:colOff>
      <xdr:row>164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E42CFDF-8931-4BE4-B141-7E2CCB84B8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619126</xdr:colOff>
      <xdr:row>195</xdr:row>
      <xdr:rowOff>152401</xdr:rowOff>
    </xdr:from>
    <xdr:to>
      <xdr:col>10</xdr:col>
      <xdr:colOff>23890</xdr:colOff>
      <xdr:row>201</xdr:row>
      <xdr:rowOff>180975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4D85EF3-5A29-4E79-8C80-77469F9F6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8376" y="39243001"/>
          <a:ext cx="947814" cy="117157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69850</xdr:colOff>
      <xdr:row>0</xdr:row>
      <xdr:rowOff>101601</xdr:rowOff>
    </xdr:from>
    <xdr:to>
      <xdr:col>2</xdr:col>
      <xdr:colOff>146050</xdr:colOff>
      <xdr:row>5</xdr:row>
      <xdr:rowOff>118289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6541CDB8-514C-4AF7-99F9-8A22A369F7B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1850" y="101601"/>
          <a:ext cx="1168400" cy="969188"/>
        </a:xfrm>
        <a:prstGeom prst="rect">
          <a:avLst/>
        </a:prstGeom>
        <a:ln/>
      </xdr:spPr>
    </xdr:pic>
    <xdr:clientData/>
  </xdr:twoCellAnchor>
  <xdr:twoCellAnchor>
    <xdr:from>
      <xdr:col>9</xdr:col>
      <xdr:colOff>31750</xdr:colOff>
      <xdr:row>44</xdr:row>
      <xdr:rowOff>6350</xdr:rowOff>
    </xdr:from>
    <xdr:to>
      <xdr:col>13</xdr:col>
      <xdr:colOff>1057910</xdr:colOff>
      <xdr:row>53</xdr:row>
      <xdr:rowOff>177800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E8DFAF6-7401-485D-963A-605F584593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25400</xdr:colOff>
      <xdr:row>140</xdr:row>
      <xdr:rowOff>9525</xdr:rowOff>
    </xdr:from>
    <xdr:to>
      <xdr:col>13</xdr:col>
      <xdr:colOff>1051560</xdr:colOff>
      <xdr:row>149</xdr:row>
      <xdr:rowOff>180975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2C44712-72EB-4230-ACA4-F805F27CC0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31750</xdr:colOff>
      <xdr:row>236</xdr:row>
      <xdr:rowOff>9525</xdr:rowOff>
    </xdr:from>
    <xdr:to>
      <xdr:col>13</xdr:col>
      <xdr:colOff>1057910</xdr:colOff>
      <xdr:row>245</xdr:row>
      <xdr:rowOff>180975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982DFA1-F66C-46A6-813B-A398FDA710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755650</xdr:colOff>
      <xdr:row>431</xdr:row>
      <xdr:rowOff>6350</xdr:rowOff>
    </xdr:from>
    <xdr:to>
      <xdr:col>7</xdr:col>
      <xdr:colOff>6349</xdr:colOff>
      <xdr:row>447</xdr:row>
      <xdr:rowOff>3175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7CC6A4A-6A35-40B7-9732-DA879734F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431</xdr:row>
      <xdr:rowOff>6350</xdr:rowOff>
    </xdr:from>
    <xdr:to>
      <xdr:col>14</xdr:col>
      <xdr:colOff>12699</xdr:colOff>
      <xdr:row>447</xdr:row>
      <xdr:rowOff>3175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1143A741-2A58-4209-8990-6E0E2A2953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755650</xdr:colOff>
      <xdr:row>566</xdr:row>
      <xdr:rowOff>6350</xdr:rowOff>
    </xdr:from>
    <xdr:to>
      <xdr:col>7</xdr:col>
      <xdr:colOff>6349</xdr:colOff>
      <xdr:row>582</xdr:row>
      <xdr:rowOff>3175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2B539ABB-2B69-4D70-9A3B-4FA4B1173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566</xdr:row>
      <xdr:rowOff>6350</xdr:rowOff>
    </xdr:from>
    <xdr:to>
      <xdr:col>14</xdr:col>
      <xdr:colOff>12699</xdr:colOff>
      <xdr:row>582</xdr:row>
      <xdr:rowOff>3175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71FBC722-1A16-4E29-98B8-E6920A5BA6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755650</xdr:colOff>
      <xdr:row>521</xdr:row>
      <xdr:rowOff>6350</xdr:rowOff>
    </xdr:from>
    <xdr:to>
      <xdr:col>7</xdr:col>
      <xdr:colOff>6349</xdr:colOff>
      <xdr:row>537</xdr:row>
      <xdr:rowOff>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CB8653B-6CC1-4DC7-B61E-A0923D3794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0</xdr:colOff>
      <xdr:row>521</xdr:row>
      <xdr:rowOff>6350</xdr:rowOff>
    </xdr:from>
    <xdr:to>
      <xdr:col>14</xdr:col>
      <xdr:colOff>12699</xdr:colOff>
      <xdr:row>537</xdr:row>
      <xdr:rowOff>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F8BB46C6-EA86-41AB-B89D-BCF8A34F0E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38099</xdr:colOff>
      <xdr:row>64</xdr:row>
      <xdr:rowOff>12701</xdr:rowOff>
    </xdr:from>
    <xdr:to>
      <xdr:col>13</xdr:col>
      <xdr:colOff>1064259</xdr:colOff>
      <xdr:row>73</xdr:row>
      <xdr:rowOff>184151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A1380048-4152-448A-AFA0-EF391147D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25400</xdr:colOff>
      <xdr:row>94</xdr:row>
      <xdr:rowOff>6350</xdr:rowOff>
    </xdr:from>
    <xdr:to>
      <xdr:col>13</xdr:col>
      <xdr:colOff>1051560</xdr:colOff>
      <xdr:row>103</xdr:row>
      <xdr:rowOff>177800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7C1E6FF8-0A6D-430D-9052-751BFE8F3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9</xdr:col>
      <xdr:colOff>101582</xdr:colOff>
      <xdr:row>41</xdr:row>
      <xdr:rowOff>146069</xdr:rowOff>
    </xdr:from>
    <xdr:to>
      <xdr:col>9</xdr:col>
      <xdr:colOff>1060481</xdr:colOff>
      <xdr:row>43</xdr:row>
      <xdr:rowOff>50833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8F3D8BAE-C21B-4825-A0A8-43505175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 rot="5400000">
          <a:off x="9944100" y="6769101"/>
          <a:ext cx="273064" cy="958899"/>
        </a:xfrm>
        <a:prstGeom prst="rect">
          <a:avLst/>
        </a:prstGeom>
      </xdr:spPr>
    </xdr:pic>
    <xdr:clientData/>
  </xdr:twoCellAnchor>
  <xdr:twoCellAnchor editAs="oneCell">
    <xdr:from>
      <xdr:col>11</xdr:col>
      <xdr:colOff>219064</xdr:colOff>
      <xdr:row>41</xdr:row>
      <xdr:rowOff>142887</xdr:rowOff>
    </xdr:from>
    <xdr:to>
      <xdr:col>11</xdr:col>
      <xdr:colOff>911250</xdr:colOff>
      <xdr:row>43</xdr:row>
      <xdr:rowOff>28600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FCF08BE6-E9E3-4FCC-8F3C-29B4ACF71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 rot="5400000">
          <a:off x="12122150" y="6889751"/>
          <a:ext cx="254013" cy="692186"/>
        </a:xfrm>
        <a:prstGeom prst="rect">
          <a:avLst/>
        </a:prstGeom>
      </xdr:spPr>
    </xdr:pic>
    <xdr:clientData/>
  </xdr:twoCellAnchor>
  <xdr:twoCellAnchor editAs="oneCell">
    <xdr:from>
      <xdr:col>13</xdr:col>
      <xdr:colOff>212712</xdr:colOff>
      <xdr:row>42</xdr:row>
      <xdr:rowOff>3188</xdr:rowOff>
    </xdr:from>
    <xdr:to>
      <xdr:col>13</xdr:col>
      <xdr:colOff>917598</xdr:colOff>
      <xdr:row>43</xdr:row>
      <xdr:rowOff>9548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6E0EC3D6-1683-4FDC-AF59-C81AA34A0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 rot="5400000">
          <a:off x="14338300" y="6896100"/>
          <a:ext cx="190510" cy="704886"/>
        </a:xfrm>
        <a:prstGeom prst="rect">
          <a:avLst/>
        </a:prstGeom>
      </xdr:spPr>
    </xdr:pic>
    <xdr:clientData/>
  </xdr:twoCellAnchor>
  <xdr:oneCellAnchor>
    <xdr:from>
      <xdr:col>9</xdr:col>
      <xdr:colOff>101582</xdr:colOff>
      <xdr:row>137</xdr:row>
      <xdr:rowOff>146069</xdr:rowOff>
    </xdr:from>
    <xdr:ext cx="958899" cy="273064"/>
    <xdr:pic>
      <xdr:nvPicPr>
        <xdr:cNvPr id="26" name="Imagen 25">
          <a:extLst>
            <a:ext uri="{FF2B5EF4-FFF2-40B4-BE49-F238E27FC236}">
              <a16:creationId xmlns:a16="http://schemas.microsoft.com/office/drawing/2014/main" id="{2733D9B4-7435-4028-8D91-B6EA42B7B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 rot="5400000">
          <a:off x="9944100" y="6769101"/>
          <a:ext cx="273064" cy="958899"/>
        </a:xfrm>
        <a:prstGeom prst="rect">
          <a:avLst/>
        </a:prstGeom>
      </xdr:spPr>
    </xdr:pic>
    <xdr:clientData/>
  </xdr:oneCellAnchor>
  <xdr:oneCellAnchor>
    <xdr:from>
      <xdr:col>11</xdr:col>
      <xdr:colOff>219064</xdr:colOff>
      <xdr:row>137</xdr:row>
      <xdr:rowOff>142887</xdr:rowOff>
    </xdr:from>
    <xdr:ext cx="692186" cy="254013"/>
    <xdr:pic>
      <xdr:nvPicPr>
        <xdr:cNvPr id="27" name="Imagen 26">
          <a:extLst>
            <a:ext uri="{FF2B5EF4-FFF2-40B4-BE49-F238E27FC236}">
              <a16:creationId xmlns:a16="http://schemas.microsoft.com/office/drawing/2014/main" id="{E7774039-0A17-4F1D-8F67-7E73E80AC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 rot="5400000">
          <a:off x="12122150" y="6889751"/>
          <a:ext cx="254013" cy="692186"/>
        </a:xfrm>
        <a:prstGeom prst="rect">
          <a:avLst/>
        </a:prstGeom>
      </xdr:spPr>
    </xdr:pic>
    <xdr:clientData/>
  </xdr:oneCellAnchor>
  <xdr:oneCellAnchor>
    <xdr:from>
      <xdr:col>13</xdr:col>
      <xdr:colOff>212712</xdr:colOff>
      <xdr:row>138</xdr:row>
      <xdr:rowOff>3188</xdr:rowOff>
    </xdr:from>
    <xdr:ext cx="704886" cy="190510"/>
    <xdr:pic>
      <xdr:nvPicPr>
        <xdr:cNvPr id="28" name="Imagen 27">
          <a:extLst>
            <a:ext uri="{FF2B5EF4-FFF2-40B4-BE49-F238E27FC236}">
              <a16:creationId xmlns:a16="http://schemas.microsoft.com/office/drawing/2014/main" id="{D4F672A8-194D-4879-9C07-DB8249071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 rot="5400000">
          <a:off x="14338300" y="6896100"/>
          <a:ext cx="190510" cy="704886"/>
        </a:xfrm>
        <a:prstGeom prst="rect">
          <a:avLst/>
        </a:prstGeom>
      </xdr:spPr>
    </xdr:pic>
    <xdr:clientData/>
  </xdr:oneCellAnchor>
  <xdr:twoCellAnchor>
    <xdr:from>
      <xdr:col>9</xdr:col>
      <xdr:colOff>25400</xdr:colOff>
      <xdr:row>170</xdr:row>
      <xdr:rowOff>6350</xdr:rowOff>
    </xdr:from>
    <xdr:to>
      <xdr:col>13</xdr:col>
      <xdr:colOff>1051560</xdr:colOff>
      <xdr:row>179</xdr:row>
      <xdr:rowOff>177800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9C403996-F3BE-4E18-BBC8-BC85DC983A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9</xdr:col>
      <xdr:colOff>25400</xdr:colOff>
      <xdr:row>190</xdr:row>
      <xdr:rowOff>6350</xdr:rowOff>
    </xdr:from>
    <xdr:to>
      <xdr:col>13</xdr:col>
      <xdr:colOff>1051560</xdr:colOff>
      <xdr:row>199</xdr:row>
      <xdr:rowOff>177800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3B99A649-81BD-402D-B875-57DFA71FAE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oneCellAnchor>
    <xdr:from>
      <xdr:col>9</xdr:col>
      <xdr:colOff>101582</xdr:colOff>
      <xdr:row>233</xdr:row>
      <xdr:rowOff>146069</xdr:rowOff>
    </xdr:from>
    <xdr:ext cx="958899" cy="273064"/>
    <xdr:pic>
      <xdr:nvPicPr>
        <xdr:cNvPr id="31" name="Imagen 30">
          <a:extLst>
            <a:ext uri="{FF2B5EF4-FFF2-40B4-BE49-F238E27FC236}">
              <a16:creationId xmlns:a16="http://schemas.microsoft.com/office/drawing/2014/main" id="{188FC3E3-14D6-4277-A923-7157E970F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 rot="5400000">
          <a:off x="9944100" y="18688051"/>
          <a:ext cx="273064" cy="958899"/>
        </a:xfrm>
        <a:prstGeom prst="rect">
          <a:avLst/>
        </a:prstGeom>
      </xdr:spPr>
    </xdr:pic>
    <xdr:clientData/>
  </xdr:oneCellAnchor>
  <xdr:oneCellAnchor>
    <xdr:from>
      <xdr:col>11</xdr:col>
      <xdr:colOff>219064</xdr:colOff>
      <xdr:row>233</xdr:row>
      <xdr:rowOff>142887</xdr:rowOff>
    </xdr:from>
    <xdr:ext cx="692186" cy="254013"/>
    <xdr:pic>
      <xdr:nvPicPr>
        <xdr:cNvPr id="32" name="Imagen 31">
          <a:extLst>
            <a:ext uri="{FF2B5EF4-FFF2-40B4-BE49-F238E27FC236}">
              <a16:creationId xmlns:a16="http://schemas.microsoft.com/office/drawing/2014/main" id="{F2454BEC-E2D2-4975-8CFB-07CCB1C16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 rot="5400000">
          <a:off x="12122150" y="18808701"/>
          <a:ext cx="254013" cy="692186"/>
        </a:xfrm>
        <a:prstGeom prst="rect">
          <a:avLst/>
        </a:prstGeom>
      </xdr:spPr>
    </xdr:pic>
    <xdr:clientData/>
  </xdr:oneCellAnchor>
  <xdr:oneCellAnchor>
    <xdr:from>
      <xdr:col>13</xdr:col>
      <xdr:colOff>212712</xdr:colOff>
      <xdr:row>234</xdr:row>
      <xdr:rowOff>3188</xdr:rowOff>
    </xdr:from>
    <xdr:ext cx="704886" cy="190510"/>
    <xdr:pic>
      <xdr:nvPicPr>
        <xdr:cNvPr id="33" name="Imagen 32">
          <a:extLst>
            <a:ext uri="{FF2B5EF4-FFF2-40B4-BE49-F238E27FC236}">
              <a16:creationId xmlns:a16="http://schemas.microsoft.com/office/drawing/2014/main" id="{C92D60C9-FDE3-4FB4-90A5-871697714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 rot="5400000">
          <a:off x="14338300" y="18815050"/>
          <a:ext cx="190510" cy="704886"/>
        </a:xfrm>
        <a:prstGeom prst="rect">
          <a:avLst/>
        </a:prstGeom>
      </xdr:spPr>
    </xdr:pic>
    <xdr:clientData/>
  </xdr:oneCellAnchor>
  <xdr:twoCellAnchor>
    <xdr:from>
      <xdr:col>9</xdr:col>
      <xdr:colOff>25400</xdr:colOff>
      <xdr:row>256</xdr:row>
      <xdr:rowOff>6350</xdr:rowOff>
    </xdr:from>
    <xdr:to>
      <xdr:col>13</xdr:col>
      <xdr:colOff>1051560</xdr:colOff>
      <xdr:row>265</xdr:row>
      <xdr:rowOff>177800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96BA42C6-AF40-4E8E-B99B-BE940F4CDC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9</xdr:col>
      <xdr:colOff>25400</xdr:colOff>
      <xdr:row>286</xdr:row>
      <xdr:rowOff>6350</xdr:rowOff>
    </xdr:from>
    <xdr:to>
      <xdr:col>13</xdr:col>
      <xdr:colOff>1051560</xdr:colOff>
      <xdr:row>295</xdr:row>
      <xdr:rowOff>177800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83649786-1BC9-422E-A74E-FD7AB2A498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9</xdr:col>
      <xdr:colOff>31750</xdr:colOff>
      <xdr:row>54</xdr:row>
      <xdr:rowOff>6350</xdr:rowOff>
    </xdr:from>
    <xdr:to>
      <xdr:col>13</xdr:col>
      <xdr:colOff>1057910</xdr:colOff>
      <xdr:row>63</xdr:row>
      <xdr:rowOff>177800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B205C07D-6FFF-4245-88C3-9CA84D2F5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9</xdr:col>
      <xdr:colOff>38099</xdr:colOff>
      <xdr:row>74</xdr:row>
      <xdr:rowOff>12701</xdr:rowOff>
    </xdr:from>
    <xdr:to>
      <xdr:col>13</xdr:col>
      <xdr:colOff>1064259</xdr:colOff>
      <xdr:row>83</xdr:row>
      <xdr:rowOff>184151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233C3FB5-DA88-4294-AF40-F70B3A02F7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9</xdr:col>
      <xdr:colOff>25400</xdr:colOff>
      <xdr:row>84</xdr:row>
      <xdr:rowOff>6350</xdr:rowOff>
    </xdr:from>
    <xdr:to>
      <xdr:col>13</xdr:col>
      <xdr:colOff>1051560</xdr:colOff>
      <xdr:row>93</xdr:row>
      <xdr:rowOff>177800</xdr:rowOff>
    </xdr:to>
    <xdr:graphicFrame macro="">
      <xdr:nvGraphicFramePr>
        <xdr:cNvPr id="38" name="Gráfico 37">
          <a:extLst>
            <a:ext uri="{FF2B5EF4-FFF2-40B4-BE49-F238E27FC236}">
              <a16:creationId xmlns:a16="http://schemas.microsoft.com/office/drawing/2014/main" id="{0F4C3F32-9A74-4AAF-8B26-12205BA23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9</xdr:col>
      <xdr:colOff>25400</xdr:colOff>
      <xdr:row>150</xdr:row>
      <xdr:rowOff>9525</xdr:rowOff>
    </xdr:from>
    <xdr:to>
      <xdr:col>13</xdr:col>
      <xdr:colOff>1051560</xdr:colOff>
      <xdr:row>159</xdr:row>
      <xdr:rowOff>180975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A1FB0033-C979-4F36-ACDC-192D1B695E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9</xdr:col>
      <xdr:colOff>25400</xdr:colOff>
      <xdr:row>160</xdr:row>
      <xdr:rowOff>6350</xdr:rowOff>
    </xdr:from>
    <xdr:to>
      <xdr:col>13</xdr:col>
      <xdr:colOff>1051560</xdr:colOff>
      <xdr:row>169</xdr:row>
      <xdr:rowOff>177800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C4671AB5-21C4-4DF6-8021-4D2415F429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9</xdr:col>
      <xdr:colOff>25400</xdr:colOff>
      <xdr:row>180</xdr:row>
      <xdr:rowOff>6350</xdr:rowOff>
    </xdr:from>
    <xdr:to>
      <xdr:col>13</xdr:col>
      <xdr:colOff>1051560</xdr:colOff>
      <xdr:row>189</xdr:row>
      <xdr:rowOff>177800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0D29664C-46F2-4CA5-9ED4-F15B522BC0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9</xdr:col>
      <xdr:colOff>31750</xdr:colOff>
      <xdr:row>246</xdr:row>
      <xdr:rowOff>9525</xdr:rowOff>
    </xdr:from>
    <xdr:to>
      <xdr:col>13</xdr:col>
      <xdr:colOff>1057910</xdr:colOff>
      <xdr:row>255</xdr:row>
      <xdr:rowOff>180975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66344FEA-4991-42E7-849B-B69B3B51C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9</xdr:col>
      <xdr:colOff>25400</xdr:colOff>
      <xdr:row>266</xdr:row>
      <xdr:rowOff>6350</xdr:rowOff>
    </xdr:from>
    <xdr:to>
      <xdr:col>13</xdr:col>
      <xdr:colOff>1051560</xdr:colOff>
      <xdr:row>275</xdr:row>
      <xdr:rowOff>177800</xdr:rowOff>
    </xdr:to>
    <xdr:graphicFrame macro="">
      <xdr:nvGraphicFramePr>
        <xdr:cNvPr id="43" name="Gráfico 42">
          <a:extLst>
            <a:ext uri="{FF2B5EF4-FFF2-40B4-BE49-F238E27FC236}">
              <a16:creationId xmlns:a16="http://schemas.microsoft.com/office/drawing/2014/main" id="{D391D05E-5703-4F91-A227-2ADDF175F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9</xdr:col>
      <xdr:colOff>25400</xdr:colOff>
      <xdr:row>276</xdr:row>
      <xdr:rowOff>6350</xdr:rowOff>
    </xdr:from>
    <xdr:to>
      <xdr:col>13</xdr:col>
      <xdr:colOff>1051560</xdr:colOff>
      <xdr:row>285</xdr:row>
      <xdr:rowOff>177800</xdr:rowOff>
    </xdr:to>
    <xdr:graphicFrame macro="">
      <xdr:nvGraphicFramePr>
        <xdr:cNvPr id="44" name="Gráfico 43">
          <a:extLst>
            <a:ext uri="{FF2B5EF4-FFF2-40B4-BE49-F238E27FC236}">
              <a16:creationId xmlns:a16="http://schemas.microsoft.com/office/drawing/2014/main" id="{458149A3-17F7-434D-879C-47C1E503CA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755650</xdr:colOff>
      <xdr:row>476</xdr:row>
      <xdr:rowOff>6350</xdr:rowOff>
    </xdr:from>
    <xdr:to>
      <xdr:col>7</xdr:col>
      <xdr:colOff>6349</xdr:colOff>
      <xdr:row>492</xdr:row>
      <xdr:rowOff>3175</xdr:rowOff>
    </xdr:to>
    <xdr:graphicFrame macro="">
      <xdr:nvGraphicFramePr>
        <xdr:cNvPr id="45" name="Gráfico 44">
          <a:extLst>
            <a:ext uri="{FF2B5EF4-FFF2-40B4-BE49-F238E27FC236}">
              <a16:creationId xmlns:a16="http://schemas.microsoft.com/office/drawing/2014/main" id="{7B00FD16-50EA-4665-837C-A29D9A3527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8</xdr:col>
      <xdr:colOff>0</xdr:colOff>
      <xdr:row>476</xdr:row>
      <xdr:rowOff>6350</xdr:rowOff>
    </xdr:from>
    <xdr:to>
      <xdr:col>14</xdr:col>
      <xdr:colOff>12699</xdr:colOff>
      <xdr:row>492</xdr:row>
      <xdr:rowOff>3175</xdr:rowOff>
    </xdr:to>
    <xdr:graphicFrame macro="">
      <xdr:nvGraphicFramePr>
        <xdr:cNvPr id="46" name="Gráfico 45">
          <a:extLst>
            <a:ext uri="{FF2B5EF4-FFF2-40B4-BE49-F238E27FC236}">
              <a16:creationId xmlns:a16="http://schemas.microsoft.com/office/drawing/2014/main" id="{B4982178-6627-4A47-814F-AF67F2C3C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88900</xdr:rowOff>
    </xdr:from>
    <xdr:to>
      <xdr:col>2</xdr:col>
      <xdr:colOff>152400</xdr:colOff>
      <xdr:row>5</xdr:row>
      <xdr:rowOff>105588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A3E626A2-C7B2-427D-BB18-017309C3D9A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8000" y="88900"/>
          <a:ext cx="1168400" cy="969188"/>
        </a:xfrm>
        <a:prstGeom prst="rect">
          <a:avLst/>
        </a:prstGeom>
        <a:ln/>
      </xdr:spPr>
    </xdr:pic>
    <xdr:clientData/>
  </xdr:twoCellAnchor>
  <xdr:twoCellAnchor>
    <xdr:from>
      <xdr:col>1</xdr:col>
      <xdr:colOff>6350</xdr:colOff>
      <xdr:row>110</xdr:row>
      <xdr:rowOff>6350</xdr:rowOff>
    </xdr:from>
    <xdr:to>
      <xdr:col>13</xdr:col>
      <xdr:colOff>876299</xdr:colOff>
      <xdr:row>139</xdr:row>
      <xdr:rowOff>12700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66347B2-5963-49B1-B9E6-60D0CE3ECC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558800</xdr:colOff>
      <xdr:row>0</xdr:row>
      <xdr:rowOff>107951</xdr:rowOff>
    </xdr:from>
    <xdr:to>
      <xdr:col>2</xdr:col>
      <xdr:colOff>203200</xdr:colOff>
      <xdr:row>5</xdr:row>
      <xdr:rowOff>124639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6C137728-B013-4170-A403-9481EE2349F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58800" y="107951"/>
          <a:ext cx="1168400" cy="969188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512AA-0612-49E6-AF7F-7AC4A71BC6E5}">
  <dimension ref="A1:N83"/>
  <sheetViews>
    <sheetView topLeftCell="A40" zoomScaleNormal="100" workbookViewId="0">
      <selection activeCell="L34" sqref="L34:N34"/>
    </sheetView>
  </sheetViews>
  <sheetFormatPr baseColWidth="10" defaultColWidth="11.5703125" defaultRowHeight="14.25" x14ac:dyDescent="0.2"/>
  <cols>
    <col min="1" max="1" width="11.5703125" style="62"/>
    <col min="2" max="13" width="12.5703125" style="62" customWidth="1"/>
    <col min="14" max="16384" width="11.5703125" style="62"/>
  </cols>
  <sheetData>
    <row r="1" spans="1:14" ht="15" customHeight="1" thickBot="1" x14ac:dyDescent="0.25">
      <c r="A1" s="250"/>
      <c r="B1" s="250"/>
      <c r="C1" s="250"/>
      <c r="D1" s="251" t="s">
        <v>237</v>
      </c>
      <c r="E1" s="251"/>
      <c r="F1" s="251"/>
      <c r="G1" s="251"/>
      <c r="H1" s="251"/>
      <c r="I1" s="251"/>
      <c r="J1" s="251"/>
      <c r="K1" s="251"/>
      <c r="L1" s="247" t="s">
        <v>510</v>
      </c>
      <c r="M1" s="247"/>
      <c r="N1" s="247"/>
    </row>
    <row r="2" spans="1:14" ht="15" customHeight="1" thickBot="1" x14ac:dyDescent="0.25">
      <c r="A2" s="250"/>
      <c r="B2" s="250"/>
      <c r="C2" s="250"/>
      <c r="D2" s="251"/>
      <c r="E2" s="251"/>
      <c r="F2" s="251"/>
      <c r="G2" s="251"/>
      <c r="H2" s="251"/>
      <c r="I2" s="251"/>
      <c r="J2" s="251"/>
      <c r="K2" s="251"/>
      <c r="L2" s="247"/>
      <c r="M2" s="247"/>
      <c r="N2" s="247"/>
    </row>
    <row r="3" spans="1:14" ht="15" customHeight="1" thickBot="1" x14ac:dyDescent="0.25">
      <c r="A3" s="250"/>
      <c r="B3" s="250"/>
      <c r="C3" s="250"/>
      <c r="D3" s="251"/>
      <c r="E3" s="251"/>
      <c r="F3" s="251"/>
      <c r="G3" s="251"/>
      <c r="H3" s="251"/>
      <c r="I3" s="251"/>
      <c r="J3" s="251"/>
      <c r="K3" s="251"/>
      <c r="L3" s="247" t="s">
        <v>511</v>
      </c>
      <c r="M3" s="247"/>
      <c r="N3" s="247"/>
    </row>
    <row r="4" spans="1:14" ht="15" customHeight="1" thickBot="1" x14ac:dyDescent="0.25">
      <c r="A4" s="250"/>
      <c r="B4" s="250"/>
      <c r="C4" s="250"/>
      <c r="D4" s="251"/>
      <c r="E4" s="251"/>
      <c r="F4" s="251"/>
      <c r="G4" s="251"/>
      <c r="H4" s="251"/>
      <c r="I4" s="251"/>
      <c r="J4" s="251"/>
      <c r="K4" s="251"/>
      <c r="L4" s="247"/>
      <c r="M4" s="247"/>
      <c r="N4" s="247"/>
    </row>
    <row r="5" spans="1:14" ht="15" customHeight="1" thickBot="1" x14ac:dyDescent="0.25">
      <c r="A5" s="250"/>
      <c r="B5" s="250"/>
      <c r="C5" s="250"/>
      <c r="D5" s="251"/>
      <c r="E5" s="251"/>
      <c r="F5" s="251"/>
      <c r="G5" s="251"/>
      <c r="H5" s="251"/>
      <c r="I5" s="251"/>
      <c r="J5" s="251"/>
      <c r="K5" s="251"/>
      <c r="L5" s="247" t="s">
        <v>512</v>
      </c>
      <c r="M5" s="247"/>
      <c r="N5" s="247"/>
    </row>
    <row r="6" spans="1:14" ht="15" customHeight="1" thickBot="1" x14ac:dyDescent="0.25">
      <c r="A6" s="250"/>
      <c r="B6" s="250"/>
      <c r="C6" s="250"/>
      <c r="D6" s="251"/>
      <c r="E6" s="251"/>
      <c r="F6" s="251"/>
      <c r="G6" s="251"/>
      <c r="H6" s="251"/>
      <c r="I6" s="251"/>
      <c r="J6" s="251"/>
      <c r="K6" s="251"/>
      <c r="L6" s="247"/>
      <c r="M6" s="247"/>
      <c r="N6" s="247"/>
    </row>
    <row r="8" spans="1:14" ht="24.95" customHeight="1" x14ac:dyDescent="0.2">
      <c r="A8" s="234" t="s">
        <v>0</v>
      </c>
      <c r="B8" s="234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</row>
    <row r="10" spans="1:14" ht="14.45" customHeight="1" x14ac:dyDescent="0.2">
      <c r="B10" s="256" t="s">
        <v>188</v>
      </c>
      <c r="C10" s="257"/>
      <c r="D10" s="258" t="str">
        <f>_xlfn.CONCAT(TEXT(MAX(J18:J27),"0.0000")," ",N37)</f>
        <v>0.0000 psi</v>
      </c>
      <c r="E10" s="259"/>
      <c r="F10" s="282" t="s">
        <v>414</v>
      </c>
      <c r="G10" s="257"/>
      <c r="H10" s="261" t="str">
        <f>_xlfn.CONCAT(TEXT(MAX(H18:H27),"0.0000")," ",N37)</f>
        <v>0.0000 psi</v>
      </c>
      <c r="I10" s="262"/>
      <c r="J10" s="282" t="s">
        <v>415</v>
      </c>
      <c r="K10" s="257"/>
      <c r="L10" s="260" t="str">
        <f>_xlfn.CONCAT(TEXT(MIN(H18:H27),"0.0000")," ",N37)</f>
        <v>0.0000 psi</v>
      </c>
      <c r="M10" s="271"/>
    </row>
    <row r="11" spans="1:14" x14ac:dyDescent="0.2">
      <c r="B11" s="256"/>
      <c r="C11" s="257"/>
      <c r="D11" s="260"/>
      <c r="E11" s="259"/>
      <c r="F11" s="282"/>
      <c r="G11" s="257"/>
      <c r="H11" s="263"/>
      <c r="I11" s="264"/>
      <c r="J11" s="282"/>
      <c r="K11" s="257"/>
      <c r="L11" s="272"/>
      <c r="M11" s="273"/>
    </row>
    <row r="13" spans="1:14" x14ac:dyDescent="0.2">
      <c r="B13" s="274" t="s">
        <v>189</v>
      </c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6"/>
    </row>
    <row r="14" spans="1:14" x14ac:dyDescent="0.2">
      <c r="B14" s="277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5"/>
    </row>
    <row r="15" spans="1:14" ht="14.45" customHeight="1" x14ac:dyDescent="0.2">
      <c r="B15" s="277" t="s">
        <v>190</v>
      </c>
      <c r="C15" s="254"/>
      <c r="D15" s="254" t="s">
        <v>338</v>
      </c>
      <c r="E15" s="254"/>
      <c r="F15" s="254" t="s">
        <v>185</v>
      </c>
      <c r="G15" s="254"/>
      <c r="H15" s="254" t="s">
        <v>186</v>
      </c>
      <c r="I15" s="254"/>
      <c r="J15" s="254" t="s">
        <v>187</v>
      </c>
      <c r="K15" s="254"/>
      <c r="L15" s="254" t="s">
        <v>158</v>
      </c>
      <c r="M15" s="255" t="s">
        <v>58</v>
      </c>
    </row>
    <row r="16" spans="1:14" x14ac:dyDescent="0.2">
      <c r="B16" s="277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5"/>
    </row>
    <row r="17" spans="1:14" x14ac:dyDescent="0.2">
      <c r="B17" s="277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5"/>
    </row>
    <row r="18" spans="1:14" x14ac:dyDescent="0.2">
      <c r="B18" s="144" t="str">
        <f>IF(NOT(ISBLANK('Toma de datos'!A47)),'Toma de datos'!A47,"")</f>
        <v/>
      </c>
      <c r="C18" s="145" t="str">
        <f>IF(NOT(ISBLANK('Toma de datos'!A47)),$N$37,"")</f>
        <v/>
      </c>
      <c r="D18" s="146" t="str">
        <f>IF(NOT(ISBLANK('Toma de datos'!A47)),'Toma de datos'!C92*LOOKUP("psi",'Equipamiento y listas'!$J$36:$J$47,'Equipamiento y listas'!$L$36:$L$48)*LOOKUP('Información general'!$L$53,'Equipamiento y listas'!$K$49:$K$61,'Equipamiento y listas'!$L$49:$L$61),"")</f>
        <v/>
      </c>
      <c r="E18" s="144" t="str">
        <f>IF(NOT(ISBLANK('Toma de datos'!A47)),$L$53,"")</f>
        <v/>
      </c>
      <c r="F18" s="146" t="b">
        <f>IF(NOT(ISBLANK('Toma de datos'!A47)),'Toma de datos'!D92*LOOKUP("psi",'Equipamiento y listas'!$J$36:$J$48,'Equipamiento y listas'!$L$36:$L$48)*LOOKUP('Información general'!$N$37,'Equipamiento y listas'!$K$49:$K$61,'Equipamiento y listas'!$L$49:$L$61))</f>
        <v>0</v>
      </c>
      <c r="G18" s="144" t="str">
        <f>IF(NOT(ISBLANK('Toma de datos'!A47)),$N$37,"")</f>
        <v/>
      </c>
      <c r="H18" s="146" t="b">
        <f>IF(NOT(ISBLANK('Toma de datos'!A47)),'Toma de datos'!E92*LOOKUP("psi",'Equipamiento y listas'!$J$36:$J$48,'Equipamiento y listas'!$L$36:$L$48)*LOOKUP('Información general'!$N$37,'Equipamiento y listas'!$K$49:$K$61,'Equipamiento y listas'!$L$49:$L$61))</f>
        <v>0</v>
      </c>
      <c r="I18" s="144" t="str">
        <f>IF(NOT(ISBLANK('Toma de datos'!A47)),$N$37,"")</f>
        <v/>
      </c>
      <c r="J18" s="146" t="b">
        <f>IF(NOT(ISBLANK('Toma de datos'!A47)),'Toma de datos'!F92*LOOKUP("psi",'Equipamiento y listas'!$J$36:$J$48,'Equipamiento y listas'!$L$36:$L$48)*LOOKUP('Información general'!$N$37,'Equipamiento y listas'!$K$49:$K$61,'Equipamiento y listas'!$L$49:$L$61))</f>
        <v>0</v>
      </c>
      <c r="K18" s="144" t="str">
        <f>IF(NOT(ISBLANK('Toma de datos'!A47)),$N$37,"")</f>
        <v/>
      </c>
      <c r="L18" s="147" t="str">
        <f>IF(NOT(ISBLANK('Toma de datos'!A47)),Incertidumbre!T82,"")</f>
        <v/>
      </c>
      <c r="M18" s="148" t="str">
        <f>IF(NOT(ISBLANK('Toma de datos'!A47)),Incertidumbre!T83,"")</f>
        <v/>
      </c>
    </row>
    <row r="19" spans="1:14" x14ac:dyDescent="0.2">
      <c r="B19" s="149" t="str">
        <f>IF(NOT(ISBLANK('Toma de datos'!A48)),'Toma de datos'!A48,"")</f>
        <v/>
      </c>
      <c r="C19" s="150" t="str">
        <f>IF(NOT(ISBLANK('Toma de datos'!A48)),$N$37,"")</f>
        <v/>
      </c>
      <c r="D19" s="151" t="str">
        <f>IF(NOT(ISBLANK('Toma de datos'!A48)),'Toma de datos'!C93*LOOKUP("psi",'Equipamiento y listas'!$J$36:$J$47,'Equipamiento y listas'!$L$36:$L$48)*LOOKUP('Información general'!$L$53,'Equipamiento y listas'!$K$49:$K$61,'Equipamiento y listas'!$L$49:$L$61),"")</f>
        <v/>
      </c>
      <c r="E19" s="149" t="str">
        <f>IF(NOT(ISBLANK('Toma de datos'!A48)),$L$53,"")</f>
        <v/>
      </c>
      <c r="F19" s="151" t="b">
        <f>IF(NOT(ISBLANK('Toma de datos'!A48)),'Toma de datos'!D93*LOOKUP("psi",'Equipamiento y listas'!$J$36:$J$48,'Equipamiento y listas'!$L$36:$L$48)*LOOKUP('Información general'!$N$37,'Equipamiento y listas'!$K$49:$K$61,'Equipamiento y listas'!$L$49:$L$61))</f>
        <v>0</v>
      </c>
      <c r="G19" s="149" t="str">
        <f>IF(NOT(ISBLANK('Toma de datos'!A48)),$N$37,"")</f>
        <v/>
      </c>
      <c r="H19" s="151" t="b">
        <f>IF(NOT(ISBLANK('Toma de datos'!A48)),'Toma de datos'!E93*LOOKUP("psi",'Equipamiento y listas'!$J$36:$J$48,'Equipamiento y listas'!$L$36:$L$48)*LOOKUP('Información general'!$N$37,'Equipamiento y listas'!$K$49:$K$61,'Equipamiento y listas'!$L$49:$L$61))</f>
        <v>0</v>
      </c>
      <c r="I19" s="149" t="str">
        <f>IF(NOT(ISBLANK('Toma de datos'!A48)),$N$37,"")</f>
        <v/>
      </c>
      <c r="J19" s="151" t="b">
        <f>IF(NOT(ISBLANK('Toma de datos'!A48)),'Toma de datos'!F93*LOOKUP("psi",'Equipamiento y listas'!$J$36:$J$48,'Equipamiento y listas'!$L$36:$L$48)*LOOKUP('Información general'!$N$37,'Equipamiento y listas'!$K$49:$K$61,'Equipamiento y listas'!$L$49:$L$61))</f>
        <v>0</v>
      </c>
      <c r="K19" s="149" t="str">
        <f>IF(NOT(ISBLANK('Toma de datos'!A48)),$N$37,"")</f>
        <v/>
      </c>
      <c r="L19" s="152" t="str">
        <f>IF(NOT(ISBLANK('Toma de datos'!A47)),Incertidumbre!AB82,"")</f>
        <v/>
      </c>
      <c r="M19" s="153" t="str">
        <f>IF(NOT(ISBLANK('Toma de datos'!A47)),Incertidumbre!AB83,"")</f>
        <v/>
      </c>
    </row>
    <row r="20" spans="1:14" x14ac:dyDescent="0.2">
      <c r="B20" s="149" t="str">
        <f>IF(NOT(ISBLANK('Toma de datos'!A49)),'Toma de datos'!A49,"")</f>
        <v/>
      </c>
      <c r="C20" s="150" t="str">
        <f>IF(NOT(ISBLANK('Toma de datos'!A49)),$N$37,"")</f>
        <v/>
      </c>
      <c r="D20" s="151" t="str">
        <f>IF(NOT(ISBLANK('Toma de datos'!A49)),'Toma de datos'!C94*LOOKUP("psi",'Equipamiento y listas'!$J$36:$J$47,'Equipamiento y listas'!$L$36:$L$48)*LOOKUP('Información general'!$L$53,'Equipamiento y listas'!$K$49:$K$61,'Equipamiento y listas'!$L$49:$L$61),"")</f>
        <v/>
      </c>
      <c r="E20" s="149" t="str">
        <f>IF(NOT(ISBLANK('Toma de datos'!A49)),$L$53,"")</f>
        <v/>
      </c>
      <c r="F20" s="151" t="b">
        <f>IF(NOT(ISBLANK('Toma de datos'!A49)),'Toma de datos'!D94*LOOKUP("psi",'Equipamiento y listas'!$J$36:$J$48,'Equipamiento y listas'!$L$36:$L$48)*LOOKUP('Información general'!$N$37,'Equipamiento y listas'!$K$49:$K$61,'Equipamiento y listas'!$L$49:$L$61))</f>
        <v>0</v>
      </c>
      <c r="G20" s="149" t="str">
        <f>IF(NOT(ISBLANK('Toma de datos'!A49)),$N$37,"")</f>
        <v/>
      </c>
      <c r="H20" s="151" t="b">
        <f>IF(NOT(ISBLANK('Toma de datos'!A49)),'Toma de datos'!E94*LOOKUP("psi",'Equipamiento y listas'!$J$36:$J$48,'Equipamiento y listas'!$L$36:$L$48)*LOOKUP('Información general'!$N$37,'Equipamiento y listas'!$K$49:$K$61,'Equipamiento y listas'!$L$49:$L$61))</f>
        <v>0</v>
      </c>
      <c r="I20" s="149" t="str">
        <f>IF(NOT(ISBLANK('Toma de datos'!A49)),$N$37,"")</f>
        <v/>
      </c>
      <c r="J20" s="151" t="b">
        <f>IF(NOT(ISBLANK('Toma de datos'!A49)),'Toma de datos'!F94*LOOKUP("psi",'Equipamiento y listas'!$J$36:$J$48,'Equipamiento y listas'!$L$36:$L$48)*LOOKUP('Información general'!$N$37,'Equipamiento y listas'!$K$49:$K$61,'Equipamiento y listas'!$L$49:$L$61))</f>
        <v>0</v>
      </c>
      <c r="K20" s="149" t="str">
        <f>IF(NOT(ISBLANK('Toma de datos'!A49)),$N$37,"")</f>
        <v/>
      </c>
      <c r="L20" s="152" t="str">
        <f>IF(NOT(ISBLANK('Toma de datos'!A47)),Incertidumbre!AJ82,"")</f>
        <v/>
      </c>
      <c r="M20" s="153" t="str">
        <f>IF(NOT(ISBLANK('Toma de datos'!A47)),Incertidumbre!AJ83,"")</f>
        <v/>
      </c>
    </row>
    <row r="21" spans="1:14" x14ac:dyDescent="0.2">
      <c r="B21" s="149" t="str">
        <f>IF(NOT(ISBLANK('Toma de datos'!A50)),'Toma de datos'!A50,"")</f>
        <v/>
      </c>
      <c r="C21" s="150" t="str">
        <f>IF(NOT(ISBLANK('Toma de datos'!A50)),$N$37,"")</f>
        <v/>
      </c>
      <c r="D21" s="151" t="str">
        <f>IF(NOT(ISBLANK('Toma de datos'!A50)),'Toma de datos'!C95*LOOKUP("psi",'Equipamiento y listas'!$J$36:$J$47,'Equipamiento y listas'!$L$36:$L$48)*LOOKUP('Información general'!$L$53,'Equipamiento y listas'!$K$49:$K$61,'Equipamiento y listas'!$L$49:$L$61),"")</f>
        <v/>
      </c>
      <c r="E21" s="149" t="str">
        <f>IF(NOT(ISBLANK('Toma de datos'!A50)),$L$53,"")</f>
        <v/>
      </c>
      <c r="F21" s="151" t="b">
        <f>IF(NOT(ISBLANK('Toma de datos'!A50)),'Toma de datos'!D95*LOOKUP("psi",'Equipamiento y listas'!$J$36:$J$48,'Equipamiento y listas'!$L$36:$L$48)*LOOKUP('Información general'!$N$37,'Equipamiento y listas'!$K$49:$K$61,'Equipamiento y listas'!$L$49:$L$61))</f>
        <v>0</v>
      </c>
      <c r="G21" s="149" t="str">
        <f>IF(NOT(ISBLANK('Toma de datos'!A50)),$N$37,"")</f>
        <v/>
      </c>
      <c r="H21" s="151" t="b">
        <f>IF(NOT(ISBLANK('Toma de datos'!A50)),'Toma de datos'!E95*LOOKUP("psi",'Equipamiento y listas'!$J$36:$J$48,'Equipamiento y listas'!$L$36:$L$48)*LOOKUP('Información general'!$N$37,'Equipamiento y listas'!$K$49:$K$61,'Equipamiento y listas'!$L$49:$L$61))</f>
        <v>0</v>
      </c>
      <c r="I21" s="149" t="str">
        <f>IF(NOT(ISBLANK('Toma de datos'!A50)),$N$37,"")</f>
        <v/>
      </c>
      <c r="J21" s="151" t="b">
        <f>IF(NOT(ISBLANK('Toma de datos'!A50)),'Toma de datos'!F95*LOOKUP("psi",'Equipamiento y listas'!$J$36:$J$48,'Equipamiento y listas'!$L$36:$L$48)*LOOKUP('Información general'!$N$37,'Equipamiento y listas'!$K$49:$K$61,'Equipamiento y listas'!$L$49:$L$61))</f>
        <v>0</v>
      </c>
      <c r="K21" s="149" t="str">
        <f>IF(NOT(ISBLANK('Toma de datos'!A50)),$N$37,"")</f>
        <v/>
      </c>
      <c r="L21" s="152" t="str">
        <f>IF(NOT(ISBLANK('Toma de datos'!A47)),Incertidumbre!AR82,"")</f>
        <v/>
      </c>
      <c r="M21" s="153" t="str">
        <f>IF(NOT(ISBLANK('Toma de datos'!A47)),Incertidumbre!AR83,"")</f>
        <v/>
      </c>
    </row>
    <row r="22" spans="1:14" x14ac:dyDescent="0.2">
      <c r="B22" s="149" t="str">
        <f>IF(NOT(ISBLANK('Toma de datos'!A51)),'Toma de datos'!A51,"")</f>
        <v/>
      </c>
      <c r="C22" s="150" t="str">
        <f>IF(NOT(ISBLANK('Toma de datos'!A51)),$N$37,"")</f>
        <v/>
      </c>
      <c r="D22" s="151" t="str">
        <f>IF(NOT(ISBLANK('Toma de datos'!A51)),'Toma de datos'!C96*LOOKUP("psi",'Equipamiento y listas'!$J$36:$J$47,'Equipamiento y listas'!$L$36:$L$48)*LOOKUP('Información general'!$L$53,'Equipamiento y listas'!$K$49:$K$61,'Equipamiento y listas'!$L$49:$L$61),"")</f>
        <v/>
      </c>
      <c r="E22" s="149" t="str">
        <f>IF(NOT(ISBLANK('Toma de datos'!A51)),$L$53,"")</f>
        <v/>
      </c>
      <c r="F22" s="151" t="b">
        <f>IF(NOT(ISBLANK('Toma de datos'!A51)),'Toma de datos'!D96*LOOKUP("psi",'Equipamiento y listas'!$J$36:$J$48,'Equipamiento y listas'!$L$36:$L$48)*LOOKUP('Información general'!$N$37,'Equipamiento y listas'!$K$49:$K$61,'Equipamiento y listas'!$L$49:$L$61))</f>
        <v>0</v>
      </c>
      <c r="G22" s="149" t="str">
        <f>IF(NOT(ISBLANK('Toma de datos'!A51)),$N$37,"")</f>
        <v/>
      </c>
      <c r="H22" s="151" t="b">
        <f>IF(NOT(ISBLANK('Toma de datos'!A51)),'Toma de datos'!E96*LOOKUP("psi",'Equipamiento y listas'!$J$36:$J$48,'Equipamiento y listas'!$L$36:$L$48)*LOOKUP('Información general'!$N$37,'Equipamiento y listas'!$K$49:$K$61,'Equipamiento y listas'!$L$49:$L$61))</f>
        <v>0</v>
      </c>
      <c r="I22" s="149" t="str">
        <f>IF(NOT(ISBLANK('Toma de datos'!A51)),$N$37,"")</f>
        <v/>
      </c>
      <c r="J22" s="151" t="b">
        <f>IF(NOT(ISBLANK('Toma de datos'!A51)),'Toma de datos'!F96*LOOKUP("psi",'Equipamiento y listas'!$J$36:$J$48,'Equipamiento y listas'!$L$36:$L$48)*LOOKUP('Información general'!$N$37,'Equipamiento y listas'!$K$49:$K$61,'Equipamiento y listas'!$L$49:$L$61))</f>
        <v>0</v>
      </c>
      <c r="K22" s="149" t="str">
        <f>IF(NOT(ISBLANK('Toma de datos'!A51)),$N$37,"")</f>
        <v/>
      </c>
      <c r="L22" s="152" t="str">
        <f>IF(NOT(ISBLANK('Toma de datos'!A47)),Incertidumbre!AZ82,"")</f>
        <v/>
      </c>
      <c r="M22" s="153" t="str">
        <f>IF(NOT(ISBLANK('Toma de datos'!A47)),Incertidumbre!AZ83,"")</f>
        <v/>
      </c>
    </row>
    <row r="23" spans="1:14" x14ac:dyDescent="0.2">
      <c r="B23" s="149" t="str">
        <f>IF(NOT(ISBLANK('Toma de datos'!A52)),'Toma de datos'!A52,"")</f>
        <v/>
      </c>
      <c r="C23" s="150" t="str">
        <f>IF(NOT(ISBLANK('Toma de datos'!A52)),$N$37,"")</f>
        <v/>
      </c>
      <c r="D23" s="151" t="str">
        <f>IF(NOT(ISBLANK('Toma de datos'!A52)),'Toma de datos'!C97*LOOKUP("psi",'Equipamiento y listas'!$J$36:$J$47,'Equipamiento y listas'!$L$36:$L$48)*LOOKUP('Información general'!$L$53,'Equipamiento y listas'!$K$49:$K$61,'Equipamiento y listas'!$L$49:$L$61),"")</f>
        <v/>
      </c>
      <c r="E23" s="149" t="str">
        <f>IF(NOT(ISBLANK('Toma de datos'!A52)),$L$53,"")</f>
        <v/>
      </c>
      <c r="F23" s="151" t="b">
        <f>IF(NOT(ISBLANK('Toma de datos'!A52)),'Toma de datos'!D97*LOOKUP("psi",'Equipamiento y listas'!$J$36:$J$48,'Equipamiento y listas'!$L$36:$L$48)*LOOKUP('Información general'!$N$37,'Equipamiento y listas'!$K$49:$K$61,'Equipamiento y listas'!$L$49:$L$61))</f>
        <v>0</v>
      </c>
      <c r="G23" s="149" t="str">
        <f>IF(NOT(ISBLANK('Toma de datos'!A52)),$N$37,"")</f>
        <v/>
      </c>
      <c r="H23" s="151" t="b">
        <f>IF(NOT(ISBLANK('Toma de datos'!A52)),'Toma de datos'!E97*LOOKUP("psi",'Equipamiento y listas'!$J$36:$J$48,'Equipamiento y listas'!$L$36:$L$48)*LOOKUP('Información general'!$N$37,'Equipamiento y listas'!$K$49:$K$61,'Equipamiento y listas'!$L$49:$L$61))</f>
        <v>0</v>
      </c>
      <c r="I23" s="149" t="str">
        <f>IF(NOT(ISBLANK('Toma de datos'!A52)),$N$37,"")</f>
        <v/>
      </c>
      <c r="J23" s="151" t="b">
        <f>IF(NOT(ISBLANK('Toma de datos'!A52)),'Toma de datos'!F97*LOOKUP("psi",'Equipamiento y listas'!$J$36:$J$48,'Equipamiento y listas'!$L$36:$L$48)*LOOKUP('Información general'!$N$37,'Equipamiento y listas'!$K$49:$K$61,'Equipamiento y listas'!$L$49:$L$61))</f>
        <v>0</v>
      </c>
      <c r="K23" s="149" t="str">
        <f>IF(NOT(ISBLANK('Toma de datos'!A52)),$N$37,"")</f>
        <v/>
      </c>
      <c r="L23" s="152" t="str">
        <f>IF(NOT(ISBLANK('Toma de datos'!A47)),Incertidumbre!BH82,"")</f>
        <v/>
      </c>
      <c r="M23" s="153" t="str">
        <f>IF(NOT(ISBLANK('Toma de datos'!A47)),Incertidumbre!BH83,"")</f>
        <v/>
      </c>
    </row>
    <row r="24" spans="1:14" x14ac:dyDescent="0.2">
      <c r="B24" s="149" t="str">
        <f>IF(NOT(ISBLANK('Toma de datos'!A53)),'Toma de datos'!A53,"")</f>
        <v/>
      </c>
      <c r="C24" s="150" t="str">
        <f>IF(NOT(ISBLANK('Toma de datos'!A53)),$N$37,"")</f>
        <v/>
      </c>
      <c r="D24" s="151" t="str">
        <f>IF(NOT(ISBLANK('Toma de datos'!A53)),'Toma de datos'!C98*LOOKUP("psi",'Equipamiento y listas'!$J$36:$J$47,'Equipamiento y listas'!$L$36:$L$48)*LOOKUP('Información general'!$L$53,'Equipamiento y listas'!$K$49:$K$61,'Equipamiento y listas'!$L$49:$L$61),"")</f>
        <v/>
      </c>
      <c r="E24" s="149" t="str">
        <f>IF(NOT(ISBLANK('Toma de datos'!A53)),$L$53,"")</f>
        <v/>
      </c>
      <c r="F24" s="151" t="b">
        <f>IF(NOT(ISBLANK('Toma de datos'!A53)),'Toma de datos'!D98*LOOKUP("psi",'Equipamiento y listas'!$J$36:$J$48,'Equipamiento y listas'!$L$36:$L$48)*LOOKUP('Información general'!$N$37,'Equipamiento y listas'!$K$49:$K$61,'Equipamiento y listas'!$L$49:$L$61))</f>
        <v>0</v>
      </c>
      <c r="G24" s="149" t="str">
        <f>IF(NOT(ISBLANK('Toma de datos'!A53)),$N$37,"")</f>
        <v/>
      </c>
      <c r="H24" s="151" t="b">
        <f>IF(NOT(ISBLANK('Toma de datos'!A53)),'Toma de datos'!E98*LOOKUP("psi",'Equipamiento y listas'!$J$36:$J$48,'Equipamiento y listas'!$L$36:$L$48)*LOOKUP('Información general'!$N$37,'Equipamiento y listas'!$K$49:$K$61,'Equipamiento y listas'!$L$49:$L$61))</f>
        <v>0</v>
      </c>
      <c r="I24" s="149" t="str">
        <f>IF(NOT(ISBLANK('Toma de datos'!A53)),$N$37,"")</f>
        <v/>
      </c>
      <c r="J24" s="151" t="b">
        <f>IF(NOT(ISBLANK('Toma de datos'!A53)),'Toma de datos'!F98*LOOKUP("psi",'Equipamiento y listas'!$J$36:$J$48,'Equipamiento y listas'!$L$36:$L$48)*LOOKUP('Información general'!$N$37,'Equipamiento y listas'!$K$49:$K$61,'Equipamiento y listas'!$L$49:$L$61))</f>
        <v>0</v>
      </c>
      <c r="K24" s="149" t="str">
        <f>IF(NOT(ISBLANK('Toma de datos'!A53)),$N$37,"")</f>
        <v/>
      </c>
      <c r="L24" s="152" t="str">
        <f>IF(NOT(ISBLANK('Toma de datos'!A47)),Incertidumbre!BP82,"")</f>
        <v/>
      </c>
      <c r="M24" s="153" t="str">
        <f>IF(NOT(ISBLANK('Toma de datos'!A47)),Incertidumbre!BP83,"")</f>
        <v/>
      </c>
    </row>
    <row r="25" spans="1:14" x14ac:dyDescent="0.2">
      <c r="B25" s="149" t="str">
        <f>IF(NOT(ISBLANK('Toma de datos'!A54)),'Toma de datos'!A54,"")</f>
        <v/>
      </c>
      <c r="C25" s="150" t="str">
        <f>IF(NOT(ISBLANK('Toma de datos'!A54)),$N$37,"")</f>
        <v/>
      </c>
      <c r="D25" s="151" t="str">
        <f>IF(NOT(ISBLANK('Toma de datos'!A54)),'Toma de datos'!C99*LOOKUP("psi",'Equipamiento y listas'!$J$36:$J$47,'Equipamiento y listas'!$L$36:$L$48)*LOOKUP('Información general'!$L$53,'Equipamiento y listas'!$K$49:$K$61,'Equipamiento y listas'!$L$49:$L$61),"")</f>
        <v/>
      </c>
      <c r="E25" s="149" t="str">
        <f>IF(NOT(ISBLANK('Toma de datos'!A54)),$L$53,"")</f>
        <v/>
      </c>
      <c r="F25" s="151" t="b">
        <f>IF(NOT(ISBLANK('Toma de datos'!A54)),'Toma de datos'!D99*LOOKUP("psi",'Equipamiento y listas'!$J$36:$J$48,'Equipamiento y listas'!$L$36:$L$48)*LOOKUP('Información general'!$N$37,'Equipamiento y listas'!$K$49:$K$61,'Equipamiento y listas'!$L$49:$L$61))</f>
        <v>0</v>
      </c>
      <c r="G25" s="149" t="str">
        <f>IF(NOT(ISBLANK('Toma de datos'!A54)),$N$37,"")</f>
        <v/>
      </c>
      <c r="H25" s="151" t="b">
        <f>IF(NOT(ISBLANK('Toma de datos'!A54)),'Toma de datos'!E99*LOOKUP("psi",'Equipamiento y listas'!$J$36:$J$48,'Equipamiento y listas'!$L$36:$L$48)*LOOKUP('Información general'!$N$37,'Equipamiento y listas'!$K$49:$K$61,'Equipamiento y listas'!$L$49:$L$61))</f>
        <v>0</v>
      </c>
      <c r="I25" s="149" t="str">
        <f>IF(NOT(ISBLANK('Toma de datos'!A54)),$N$37,"")</f>
        <v/>
      </c>
      <c r="J25" s="151" t="b">
        <f>IF(NOT(ISBLANK('Toma de datos'!A54)),'Toma de datos'!F99*LOOKUP("psi",'Equipamiento y listas'!$J$36:$J$48,'Equipamiento y listas'!$L$36:$L$48)*LOOKUP('Información general'!$N$37,'Equipamiento y listas'!$K$49:$K$61,'Equipamiento y listas'!$L$49:$L$61))</f>
        <v>0</v>
      </c>
      <c r="K25" s="149" t="str">
        <f>IF(NOT(ISBLANK('Toma de datos'!A54)),$N$37,"")</f>
        <v/>
      </c>
      <c r="L25" s="152" t="str">
        <f>IF(NOT(ISBLANK('Toma de datos'!A47)),Incertidumbre!BX82,"")</f>
        <v/>
      </c>
      <c r="M25" s="153" t="str">
        <f>IF(NOT(ISBLANK('Toma de datos'!A47)),Incertidumbre!BX83,"")</f>
        <v/>
      </c>
    </row>
    <row r="26" spans="1:14" x14ac:dyDescent="0.2">
      <c r="B26" s="149" t="str">
        <f>IF(NOT(ISBLANK('Toma de datos'!A55)),'Toma de datos'!A55,"")</f>
        <v/>
      </c>
      <c r="C26" s="150" t="str">
        <f>IF(NOT(ISBLANK('Toma de datos'!A55)),$N$37,"")</f>
        <v/>
      </c>
      <c r="D26" s="151" t="str">
        <f>IF(NOT(ISBLANK('Toma de datos'!A55)),'Toma de datos'!C100*LOOKUP("psi",'Equipamiento y listas'!$J$36:$J$47,'Equipamiento y listas'!$L$36:$L$48)*LOOKUP('Información general'!$L$53,'Equipamiento y listas'!$K$49:$K$61,'Equipamiento y listas'!$L$49:$L$61),"")</f>
        <v/>
      </c>
      <c r="E26" s="149" t="str">
        <f>IF(NOT(ISBLANK('Toma de datos'!A55)),$L$53,"")</f>
        <v/>
      </c>
      <c r="F26" s="151" t="b">
        <f>IF(NOT(ISBLANK('Toma de datos'!A55)),'Toma de datos'!D100*LOOKUP("psi",'Equipamiento y listas'!$J$36:$J$48,'Equipamiento y listas'!$L$36:$L$48)*LOOKUP('Información general'!$N$37,'Equipamiento y listas'!$K$49:$K$61,'Equipamiento y listas'!$L$49:$L$61))</f>
        <v>0</v>
      </c>
      <c r="G26" s="149" t="str">
        <f>IF(NOT(ISBLANK('Toma de datos'!A55)),$N$37,"")</f>
        <v/>
      </c>
      <c r="H26" s="151" t="b">
        <f>IF(NOT(ISBLANK('Toma de datos'!A55)),'Toma de datos'!E100*LOOKUP("psi",'Equipamiento y listas'!$J$36:$J$48,'Equipamiento y listas'!$L$36:$L$48)*LOOKUP('Información general'!$N$37,'Equipamiento y listas'!$K$49:$K$61,'Equipamiento y listas'!$L$49:$L$61))</f>
        <v>0</v>
      </c>
      <c r="I26" s="149" t="str">
        <f>IF(NOT(ISBLANK('Toma de datos'!A55)),$N$37,"")</f>
        <v/>
      </c>
      <c r="J26" s="151" t="b">
        <f>IF(NOT(ISBLANK('Toma de datos'!A55)),'Toma de datos'!F100*LOOKUP("psi",'Equipamiento y listas'!$J$36:$J$48,'Equipamiento y listas'!$L$36:$L$48)*LOOKUP('Información general'!$N$37,'Equipamiento y listas'!$K$49:$K$61,'Equipamiento y listas'!$L$49:$L$61))</f>
        <v>0</v>
      </c>
      <c r="K26" s="149" t="str">
        <f>IF(NOT(ISBLANK('Toma de datos'!A55)),$N$37,"")</f>
        <v/>
      </c>
      <c r="L26" s="152" t="str">
        <f>IF(NOT(ISBLANK('Toma de datos'!A47)),Incertidumbre!CF82,"")</f>
        <v/>
      </c>
      <c r="M26" s="153" t="str">
        <f>IF(NOT(ISBLANK('Toma de datos'!A47)),Incertidumbre!CF83,"")</f>
        <v/>
      </c>
    </row>
    <row r="27" spans="1:14" x14ac:dyDescent="0.2">
      <c r="B27" s="149" t="str">
        <f>IF(NOT(ISBLANK('Toma de datos'!A56)),'Toma de datos'!A56,"")</f>
        <v/>
      </c>
      <c r="C27" s="150" t="str">
        <f>IF(NOT(ISBLANK('Toma de datos'!A56)),$N$37,"")</f>
        <v/>
      </c>
      <c r="D27" s="151" t="str">
        <f>IF(NOT(ISBLANK('Toma de datos'!A56)),'Toma de datos'!C101*LOOKUP("psi",'Equipamiento y listas'!$J$36:$J$47,'Equipamiento y listas'!$L$36:$L$48)*LOOKUP('Información general'!$L$53,'Equipamiento y listas'!$K$49:$K$61,'Equipamiento y listas'!$L$49:$L$61),"")</f>
        <v/>
      </c>
      <c r="E27" s="149" t="str">
        <f>IF(NOT(ISBLANK('Toma de datos'!A56)),$L$53,"")</f>
        <v/>
      </c>
      <c r="F27" s="151" t="b">
        <f>IF(NOT(ISBLANK('Toma de datos'!A56)),'Toma de datos'!D101*LOOKUP("psi",'Equipamiento y listas'!$J$36:$J$48,'Equipamiento y listas'!$L$36:$L$48)*LOOKUP('Información general'!$N$37,'Equipamiento y listas'!$K$49:$K$61,'Equipamiento y listas'!$L$49:$L$61))</f>
        <v>0</v>
      </c>
      <c r="G27" s="149" t="str">
        <f>IF(NOT(ISBLANK('Toma de datos'!A56)),$N$37,"")</f>
        <v/>
      </c>
      <c r="H27" s="151" t="b">
        <f>IF(NOT(ISBLANK('Toma de datos'!A56)),'Toma de datos'!E101*LOOKUP("psi",'Equipamiento y listas'!$J$36:$J$48,'Equipamiento y listas'!$L$36:$L$48)*LOOKUP('Información general'!$N$37,'Equipamiento y listas'!$K$49:$K$61,'Equipamiento y listas'!$L$49:$L$61))</f>
        <v>0</v>
      </c>
      <c r="I27" s="149" t="str">
        <f>IF(NOT(ISBLANK('Toma de datos'!A56)),$N$37,"")</f>
        <v/>
      </c>
      <c r="J27" s="151" t="b">
        <f>IF(NOT(ISBLANK('Toma de datos'!A56)),'Toma de datos'!F101*LOOKUP("psi",'Equipamiento y listas'!$J$36:$J$48,'Equipamiento y listas'!$L$36:$L$48)*LOOKUP('Información general'!$N$37,'Equipamiento y listas'!$K$49:$K$61,'Equipamiento y listas'!$L$49:$L$61))</f>
        <v>0</v>
      </c>
      <c r="K27" s="149" t="str">
        <f>IF(NOT(ISBLANK('Toma de datos'!A56)),$N$37,"")</f>
        <v/>
      </c>
      <c r="L27" s="152" t="str">
        <f>IF(NOT(ISBLANK('Toma de datos'!A47)),Incertidumbre!CN82,"")</f>
        <v/>
      </c>
      <c r="M27" s="153" t="str">
        <f>IF(NOT(ISBLANK('Toma de datos'!A47)),Incertidumbre!CN83,"")</f>
        <v/>
      </c>
    </row>
    <row r="29" spans="1:14" ht="24.95" customHeight="1" x14ac:dyDescent="0.2">
      <c r="A29" s="234" t="s">
        <v>392</v>
      </c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</row>
    <row r="31" spans="1:14" ht="20.100000000000001" customHeight="1" x14ac:dyDescent="0.2">
      <c r="B31" s="281" t="s">
        <v>391</v>
      </c>
      <c r="C31" s="281"/>
      <c r="D31" s="281"/>
      <c r="E31" s="281"/>
      <c r="F31" s="281"/>
      <c r="G31" s="281"/>
      <c r="I31" s="281" t="s">
        <v>393</v>
      </c>
      <c r="J31" s="281"/>
      <c r="K31" s="281"/>
      <c r="L31" s="281"/>
      <c r="M31" s="281"/>
      <c r="N31" s="281"/>
    </row>
    <row r="32" spans="1:14" ht="20.100000000000001" customHeight="1" x14ac:dyDescent="0.2">
      <c r="B32" s="235" t="s">
        <v>1</v>
      </c>
      <c r="C32" s="235"/>
      <c r="D32" s="236"/>
      <c r="E32" s="237">
        <f>Software!B5</f>
        <v>0</v>
      </c>
      <c r="F32" s="238"/>
      <c r="G32" s="238"/>
      <c r="I32" s="235" t="str">
        <f>_xlfn.CONCAT("Instrumento bajo ",LOWER(E38),":")</f>
        <v>Instrumento bajo calibración:</v>
      </c>
      <c r="J32" s="235"/>
      <c r="K32" s="236"/>
      <c r="L32" s="237">
        <f>Software!B18</f>
        <v>0</v>
      </c>
      <c r="M32" s="238"/>
      <c r="N32" s="238"/>
    </row>
    <row r="33" spans="2:14" ht="20.100000000000001" customHeight="1" x14ac:dyDescent="0.2">
      <c r="B33" s="212" t="s">
        <v>2</v>
      </c>
      <c r="C33" s="212"/>
      <c r="D33" s="229"/>
      <c r="E33" s="239">
        <f>Software!B11</f>
        <v>0</v>
      </c>
      <c r="F33" s="240"/>
      <c r="G33" s="240"/>
      <c r="I33" s="212" t="s">
        <v>9</v>
      </c>
      <c r="J33" s="212"/>
      <c r="K33" s="229"/>
      <c r="L33" s="239">
        <f>Software!B19</f>
        <v>0</v>
      </c>
      <c r="M33" s="240"/>
      <c r="N33" s="240"/>
    </row>
    <row r="34" spans="2:14" ht="20.100000000000001" customHeight="1" x14ac:dyDescent="0.2">
      <c r="B34" s="212" t="s">
        <v>3</v>
      </c>
      <c r="C34" s="212"/>
      <c r="D34" s="229"/>
      <c r="E34" s="239">
        <f>Software!B7</f>
        <v>0</v>
      </c>
      <c r="F34" s="240"/>
      <c r="G34" s="240"/>
      <c r="I34" s="212" t="s">
        <v>10</v>
      </c>
      <c r="J34" s="212"/>
      <c r="K34" s="229"/>
      <c r="L34" s="284" t="s">
        <v>546</v>
      </c>
      <c r="M34" s="285"/>
      <c r="N34" s="285"/>
    </row>
    <row r="35" spans="2:14" ht="20.100000000000001" customHeight="1" x14ac:dyDescent="0.2">
      <c r="B35" s="232" t="s">
        <v>4</v>
      </c>
      <c r="C35" s="232"/>
      <c r="D35" s="233"/>
      <c r="E35" s="239">
        <f>Software!B8</f>
        <v>0</v>
      </c>
      <c r="F35" s="240"/>
      <c r="G35" s="240"/>
      <c r="I35" s="212" t="s">
        <v>11</v>
      </c>
      <c r="J35" s="212"/>
      <c r="K35" s="229"/>
      <c r="L35" s="239">
        <f>Software!B21</f>
        <v>0</v>
      </c>
      <c r="M35" s="240"/>
      <c r="N35" s="240"/>
    </row>
    <row r="36" spans="2:14" ht="20.100000000000001" customHeight="1" x14ac:dyDescent="0.2">
      <c r="I36" s="212" t="s">
        <v>12</v>
      </c>
      <c r="J36" s="212"/>
      <c r="K36" s="229"/>
      <c r="L36" s="239">
        <f>Software!B22</f>
        <v>0</v>
      </c>
      <c r="M36" s="243"/>
      <c r="N36" s="240"/>
    </row>
    <row r="37" spans="2:14" ht="20.100000000000001" customHeight="1" x14ac:dyDescent="0.2">
      <c r="B37" s="281" t="s">
        <v>395</v>
      </c>
      <c r="C37" s="281"/>
      <c r="D37" s="281"/>
      <c r="E37" s="281"/>
      <c r="F37" s="281"/>
      <c r="G37" s="281"/>
      <c r="I37" s="212" t="s">
        <v>13</v>
      </c>
      <c r="J37" s="212"/>
      <c r="K37" s="229"/>
      <c r="L37" s="154"/>
      <c r="M37" s="155" t="s">
        <v>396</v>
      </c>
      <c r="N37" s="156" t="s">
        <v>196</v>
      </c>
    </row>
    <row r="38" spans="2:14" ht="20.100000000000001" customHeight="1" x14ac:dyDescent="0.2">
      <c r="B38" s="235" t="s">
        <v>5</v>
      </c>
      <c r="C38" s="235"/>
      <c r="D38" s="236"/>
      <c r="E38" s="252" t="s">
        <v>440</v>
      </c>
      <c r="F38" s="253"/>
      <c r="G38" s="253"/>
      <c r="I38" s="212" t="s">
        <v>14</v>
      </c>
      <c r="J38" s="212"/>
      <c r="K38" s="229"/>
      <c r="L38" s="156">
        <f>Software!B23</f>
        <v>0</v>
      </c>
      <c r="M38" s="157">
        <f>Software!B25</f>
        <v>0</v>
      </c>
      <c r="N38" s="158" t="str">
        <f>_xlfn.CONCAT("en ",N37)</f>
        <v>en psi</v>
      </c>
    </row>
    <row r="39" spans="2:14" ht="20.100000000000001" customHeight="1" x14ac:dyDescent="0.2">
      <c r="B39" s="212" t="s">
        <v>19</v>
      </c>
      <c r="C39" s="212"/>
      <c r="D39" s="229"/>
      <c r="E39" s="239" t="s">
        <v>545</v>
      </c>
      <c r="F39" s="240"/>
      <c r="G39" s="240"/>
      <c r="I39" s="212" t="s">
        <v>15</v>
      </c>
      <c r="J39" s="212"/>
      <c r="K39" s="229"/>
      <c r="L39" s="156"/>
      <c r="M39" s="159"/>
      <c r="N39" s="158" t="str">
        <f>_xlfn.CONCAT("en ",N37)</f>
        <v>en psi</v>
      </c>
    </row>
    <row r="40" spans="2:14" ht="20.100000000000001" customHeight="1" x14ac:dyDescent="0.2">
      <c r="B40" s="212" t="s">
        <v>153</v>
      </c>
      <c r="C40" s="212"/>
      <c r="D40" s="229"/>
      <c r="E40" s="239">
        <f>Software!B3</f>
        <v>0</v>
      </c>
      <c r="F40" s="240"/>
      <c r="G40" s="240"/>
      <c r="I40" s="212" t="s">
        <v>152</v>
      </c>
      <c r="J40" s="212"/>
      <c r="K40" s="229"/>
      <c r="L40" s="239"/>
      <c r="M40" s="278"/>
      <c r="N40" s="158" t="str">
        <f>_xlfn.CONCAT("en ",N37)</f>
        <v>en psi</v>
      </c>
    </row>
    <row r="41" spans="2:14" ht="20.100000000000001" customHeight="1" x14ac:dyDescent="0.2">
      <c r="B41" s="229" t="s">
        <v>468</v>
      </c>
      <c r="C41" s="286"/>
      <c r="D41" s="286"/>
      <c r="E41" s="239" t="s">
        <v>148</v>
      </c>
      <c r="F41" s="240"/>
      <c r="G41" s="240"/>
      <c r="I41" s="212" t="s">
        <v>231</v>
      </c>
      <c r="J41" s="212"/>
      <c r="K41" s="229"/>
      <c r="L41" s="267"/>
      <c r="M41" s="268"/>
      <c r="N41" s="268"/>
    </row>
    <row r="42" spans="2:14" ht="20.100000000000001" customHeight="1" x14ac:dyDescent="0.2">
      <c r="B42" s="229" t="s">
        <v>469</v>
      </c>
      <c r="C42" s="286"/>
      <c r="D42" s="286"/>
      <c r="E42" s="239"/>
      <c r="F42" s="240"/>
      <c r="G42" s="240"/>
      <c r="I42" s="212" t="s">
        <v>232</v>
      </c>
      <c r="J42" s="212"/>
      <c r="K42" s="229"/>
      <c r="L42" s="269" t="str">
        <f>IFERROR(L37/(M38-L38),"")</f>
        <v/>
      </c>
      <c r="M42" s="270"/>
      <c r="N42" s="270"/>
    </row>
    <row r="43" spans="2:14" ht="20.100000000000001" customHeight="1" x14ac:dyDescent="0.2">
      <c r="B43" s="212" t="s">
        <v>6</v>
      </c>
      <c r="C43" s="212"/>
      <c r="D43" s="229"/>
      <c r="E43" s="239"/>
      <c r="F43" s="240"/>
      <c r="G43" s="240"/>
      <c r="I43" s="232" t="s">
        <v>326</v>
      </c>
      <c r="J43" s="232"/>
      <c r="K43" s="233"/>
      <c r="L43" s="239"/>
      <c r="M43" s="278"/>
      <c r="N43" s="158" t="str">
        <f>_xlfn.CONCAT("en ",N37," / °C")</f>
        <v>en psi / °C</v>
      </c>
    </row>
    <row r="44" spans="2:14" ht="20.100000000000001" customHeight="1" x14ac:dyDescent="0.2">
      <c r="B44" s="212" t="s">
        <v>20</v>
      </c>
      <c r="C44" s="212"/>
      <c r="D44" s="229"/>
      <c r="E44" s="248" t="str">
        <f>IF(E43="Calibración en sitio",E33,"")</f>
        <v/>
      </c>
      <c r="F44" s="249"/>
      <c r="G44" s="249"/>
    </row>
    <row r="45" spans="2:14" ht="20.100000000000001" customHeight="1" x14ac:dyDescent="0.2">
      <c r="B45" s="212" t="s">
        <v>17</v>
      </c>
      <c r="C45" s="212"/>
      <c r="D45" s="229"/>
      <c r="E45" s="241">
        <f>Software!B28</f>
        <v>0</v>
      </c>
      <c r="F45" s="242"/>
      <c r="G45" s="242"/>
      <c r="I45" s="291" t="s">
        <v>394</v>
      </c>
      <c r="J45" s="292"/>
      <c r="K45" s="289"/>
      <c r="L45" s="290"/>
      <c r="M45" s="290"/>
      <c r="N45" s="290"/>
    </row>
    <row r="46" spans="2:14" ht="20.100000000000001" customHeight="1" x14ac:dyDescent="0.2">
      <c r="B46" s="212" t="s">
        <v>441</v>
      </c>
      <c r="C46" s="212"/>
      <c r="D46" s="229"/>
      <c r="E46" s="241">
        <f>Software!B12</f>
        <v>0</v>
      </c>
      <c r="F46" s="242"/>
      <c r="G46" s="242"/>
      <c r="I46" s="213"/>
      <c r="J46" s="287"/>
      <c r="K46" s="289"/>
      <c r="L46" s="290"/>
      <c r="M46" s="290"/>
      <c r="N46" s="290"/>
    </row>
    <row r="47" spans="2:14" ht="20.100000000000001" customHeight="1" x14ac:dyDescent="0.2">
      <c r="B47" s="212" t="s">
        <v>18</v>
      </c>
      <c r="C47" s="212"/>
      <c r="D47" s="229"/>
      <c r="E47" s="241"/>
      <c r="F47" s="242"/>
      <c r="G47" s="242"/>
      <c r="I47" s="213" t="s">
        <v>472</v>
      </c>
      <c r="J47" s="287"/>
      <c r="K47" s="289"/>
      <c r="L47" s="290"/>
      <c r="M47" s="290"/>
      <c r="N47" s="290"/>
    </row>
    <row r="48" spans="2:14" ht="20.100000000000001" customHeight="1" x14ac:dyDescent="0.2">
      <c r="B48" s="212" t="s">
        <v>56</v>
      </c>
      <c r="C48" s="212"/>
      <c r="D48" s="229"/>
      <c r="E48" s="230" t="s">
        <v>543</v>
      </c>
      <c r="F48" s="231"/>
      <c r="G48" s="231"/>
      <c r="I48" s="213"/>
      <c r="J48" s="287"/>
      <c r="K48" s="289"/>
      <c r="L48" s="290"/>
      <c r="M48" s="290"/>
      <c r="N48" s="290"/>
    </row>
    <row r="49" spans="1:14" ht="20.100000000000001" customHeight="1" x14ac:dyDescent="0.2">
      <c r="B49" s="232" t="s">
        <v>57</v>
      </c>
      <c r="C49" s="232"/>
      <c r="D49" s="233"/>
      <c r="E49" s="239" t="s">
        <v>544</v>
      </c>
      <c r="F49" s="240"/>
      <c r="G49" s="240"/>
      <c r="I49" s="215"/>
      <c r="J49" s="288"/>
      <c r="K49" s="293" t="s">
        <v>480</v>
      </c>
      <c r="L49" s="294"/>
      <c r="M49" s="294"/>
      <c r="N49" s="294"/>
    </row>
    <row r="51" spans="1:14" ht="24.95" customHeight="1" x14ac:dyDescent="0.2">
      <c r="A51" s="234" t="s">
        <v>249</v>
      </c>
      <c r="B51" s="234"/>
      <c r="C51" s="234"/>
      <c r="D51" s="234"/>
      <c r="E51" s="234"/>
      <c r="F51" s="234"/>
      <c r="G51" s="234"/>
      <c r="H51" s="234"/>
      <c r="I51" s="234"/>
      <c r="J51" s="234"/>
      <c r="K51" s="234"/>
      <c r="L51" s="234"/>
      <c r="M51" s="234"/>
      <c r="N51" s="234"/>
    </row>
    <row r="53" spans="1:14" ht="14.45" customHeight="1" x14ac:dyDescent="0.2">
      <c r="B53" s="283" t="s">
        <v>230</v>
      </c>
      <c r="C53" s="245"/>
      <c r="D53" s="228"/>
      <c r="E53" s="246"/>
      <c r="F53" s="244" t="s">
        <v>252</v>
      </c>
      <c r="G53" s="245"/>
      <c r="H53" s="279"/>
      <c r="I53" s="280"/>
      <c r="J53" s="244" t="s">
        <v>250</v>
      </c>
      <c r="K53" s="245"/>
      <c r="L53" s="228"/>
      <c r="M53" s="209"/>
    </row>
    <row r="54" spans="1:14" x14ac:dyDescent="0.2">
      <c r="B54" s="265"/>
      <c r="C54" s="225"/>
      <c r="D54" s="228"/>
      <c r="E54" s="246"/>
      <c r="F54" s="224"/>
      <c r="G54" s="225"/>
      <c r="H54" s="279"/>
      <c r="I54" s="280"/>
      <c r="J54" s="224"/>
      <c r="K54" s="225"/>
      <c r="L54" s="228"/>
      <c r="M54" s="209"/>
    </row>
    <row r="55" spans="1:14" x14ac:dyDescent="0.2">
      <c r="B55" s="265" t="s">
        <v>258</v>
      </c>
      <c r="C55" s="225"/>
      <c r="D55" s="228"/>
      <c r="E55" s="246"/>
      <c r="F55" s="224" t="s">
        <v>251</v>
      </c>
      <c r="G55" s="225"/>
      <c r="H55" s="228"/>
      <c r="I55" s="246"/>
      <c r="J55" s="224" t="s">
        <v>390</v>
      </c>
      <c r="K55" s="225"/>
      <c r="L55" s="228"/>
      <c r="M55" s="209"/>
    </row>
    <row r="56" spans="1:14" x14ac:dyDescent="0.2">
      <c r="B56" s="266"/>
      <c r="C56" s="227"/>
      <c r="D56" s="228"/>
      <c r="E56" s="246"/>
      <c r="F56" s="226"/>
      <c r="G56" s="227"/>
      <c r="H56" s="228"/>
      <c r="I56" s="246"/>
      <c r="J56" s="226"/>
      <c r="K56" s="227"/>
      <c r="L56" s="228"/>
      <c r="M56" s="209"/>
    </row>
    <row r="58" spans="1:14" ht="24.95" customHeight="1" x14ac:dyDescent="0.2">
      <c r="A58" s="234" t="s">
        <v>21</v>
      </c>
      <c r="B58" s="234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</row>
    <row r="60" spans="1:14" ht="29.1" customHeight="1" x14ac:dyDescent="0.2">
      <c r="B60" s="205" t="s">
        <v>29</v>
      </c>
      <c r="C60" s="205"/>
      <c r="D60" s="205"/>
      <c r="E60" s="206"/>
      <c r="F60" s="207" t="s">
        <v>22</v>
      </c>
      <c r="G60" s="208"/>
      <c r="H60" s="209"/>
      <c r="I60" s="209"/>
      <c r="J60" s="208" t="s">
        <v>23</v>
      </c>
      <c r="K60" s="208"/>
      <c r="L60" s="204" t="e">
        <f>VLOOKUP(H60,'Equipamiento y listas'!$A$14:$P$17,'Equipamiento y listas'!$C$29)</f>
        <v>#N/A</v>
      </c>
      <c r="M60" s="204"/>
    </row>
    <row r="61" spans="1:14" ht="29.1" customHeight="1" x14ac:dyDescent="0.2">
      <c r="B61" s="210" t="s">
        <v>28</v>
      </c>
      <c r="C61" s="210"/>
      <c r="D61" s="211" t="e">
        <f>VLOOKUP(H60,'Equipamiento y listas'!$A$14:$P$17,'Equipamiento y listas'!$E$29)</f>
        <v>#N/A</v>
      </c>
      <c r="E61" s="211"/>
      <c r="F61" s="212" t="s">
        <v>27</v>
      </c>
      <c r="G61" s="212"/>
      <c r="H61" s="160" t="e">
        <f>VLOOKUP(H60,'Equipamiento y listas'!$A$14:$P$17,'Equipamiento y listas'!$G$29)</f>
        <v>#N/A</v>
      </c>
      <c r="I61" s="160" t="e">
        <f>VLOOKUP(H60,'Equipamiento y listas'!$A$14:$P$17,'Equipamiento y listas'!$H$29)</f>
        <v>#N/A</v>
      </c>
      <c r="J61" s="213" t="s">
        <v>24</v>
      </c>
      <c r="K61" s="213"/>
      <c r="L61" s="214" t="e">
        <f>VLOOKUP(H60,'Equipamiento y listas'!$A$14:$P$17,'Equipamiento y listas'!$P$29)</f>
        <v>#N/A</v>
      </c>
      <c r="M61" s="214"/>
    </row>
    <row r="62" spans="1:14" ht="29.1" customHeight="1" x14ac:dyDescent="0.2">
      <c r="B62" s="215" t="s">
        <v>26</v>
      </c>
      <c r="C62" s="215"/>
      <c r="D62" s="214" t="e">
        <f>VLOOKUP(H60,'Equipamiento y listas'!$A$14:$P$17,'Equipamiento y listas'!$K$29)</f>
        <v>#N/A</v>
      </c>
      <c r="E62" s="214"/>
      <c r="F62" s="215" t="s">
        <v>25</v>
      </c>
      <c r="G62" s="215"/>
      <c r="H62" s="204" t="e">
        <f>VLOOKUP(H60,'Equipamiento y listas'!$A$14:$P$17,'Equipamiento y listas'!$L$29)</f>
        <v>#N/A</v>
      </c>
      <c r="I62" s="204"/>
      <c r="J62" s="215" t="s">
        <v>30</v>
      </c>
      <c r="K62" s="215"/>
      <c r="L62" s="204" t="e">
        <f>VLOOKUP(H60,'Equipamiento y listas'!$A$14:$P$17,'Equipamiento y listas'!$N$29)</f>
        <v>#N/A</v>
      </c>
      <c r="M62" s="204"/>
    </row>
    <row r="64" spans="1:14" ht="29.1" customHeight="1" x14ac:dyDescent="0.2">
      <c r="B64" s="205" t="s">
        <v>31</v>
      </c>
      <c r="C64" s="205"/>
      <c r="D64" s="205"/>
      <c r="E64" s="206"/>
      <c r="F64" s="207" t="s">
        <v>22</v>
      </c>
      <c r="G64" s="208"/>
      <c r="H64" s="209"/>
      <c r="I64" s="209"/>
      <c r="J64" s="208" t="s">
        <v>23</v>
      </c>
      <c r="K64" s="208"/>
      <c r="L64" s="204" t="e">
        <f>VLOOKUP(H64,'Equipamiento y listas'!$A$18:$P$21,'Equipamiento y listas'!$C$29)</f>
        <v>#N/A</v>
      </c>
      <c r="M64" s="204"/>
    </row>
    <row r="65" spans="1:13" ht="29.1" customHeight="1" x14ac:dyDescent="0.2">
      <c r="B65" s="210" t="s">
        <v>28</v>
      </c>
      <c r="C65" s="210"/>
      <c r="D65" s="211" t="e">
        <f>VLOOKUP(H64,'Equipamiento y listas'!$A$18:$P$21,'Equipamiento y listas'!$E$29)</f>
        <v>#N/A</v>
      </c>
      <c r="E65" s="211"/>
      <c r="F65" s="212" t="s">
        <v>27</v>
      </c>
      <c r="G65" s="212"/>
      <c r="H65" s="160" t="e">
        <f>VLOOKUP(H64,'Equipamiento y listas'!$A$18:$P$21,'Equipamiento y listas'!$G$29)</f>
        <v>#N/A</v>
      </c>
      <c r="I65" s="160" t="e">
        <f>VLOOKUP(H64,'Equipamiento y listas'!$A$18:$P$21,'Equipamiento y listas'!$H$29)</f>
        <v>#N/A</v>
      </c>
      <c r="J65" s="213" t="s">
        <v>24</v>
      </c>
      <c r="K65" s="213"/>
      <c r="L65" s="214" t="e">
        <f>VLOOKUP(H64,'Equipamiento y listas'!$A$18:$P$21,'Equipamiento y listas'!$P$29)</f>
        <v>#N/A</v>
      </c>
      <c r="M65" s="214"/>
    </row>
    <row r="66" spans="1:13" ht="29.1" customHeight="1" x14ac:dyDescent="0.2">
      <c r="B66" s="215" t="s">
        <v>26</v>
      </c>
      <c r="C66" s="215"/>
      <c r="D66" s="214" t="e">
        <f>VLOOKUP(H64,'Equipamiento y listas'!$A$18:$P$21,'Equipamiento y listas'!$K$29)</f>
        <v>#N/A</v>
      </c>
      <c r="E66" s="214"/>
      <c r="F66" s="215" t="s">
        <v>25</v>
      </c>
      <c r="G66" s="215"/>
      <c r="H66" s="204" t="e">
        <f>VLOOKUP(H64,'Equipamiento y listas'!$A$18:$P$21,'Equipamiento y listas'!$L$29)</f>
        <v>#N/A</v>
      </c>
      <c r="I66" s="204"/>
      <c r="J66" s="215" t="s">
        <v>30</v>
      </c>
      <c r="K66" s="215"/>
      <c r="L66" s="204" t="e">
        <f>VLOOKUP(H64,'Equipamiento y listas'!$A$18:$P$21,'Equipamiento y listas'!$N$29)</f>
        <v>#N/A</v>
      </c>
      <c r="M66" s="204"/>
    </row>
    <row r="68" spans="1:13" ht="29.1" customHeight="1" x14ac:dyDescent="0.2">
      <c r="B68" s="205" t="s">
        <v>225</v>
      </c>
      <c r="C68" s="205"/>
      <c r="D68" s="205"/>
      <c r="E68" s="206"/>
      <c r="F68" s="207" t="s">
        <v>22</v>
      </c>
      <c r="G68" s="208"/>
      <c r="H68" s="209"/>
      <c r="I68" s="209"/>
      <c r="J68" s="208" t="s">
        <v>23</v>
      </c>
      <c r="K68" s="208"/>
      <c r="L68" s="204" t="e">
        <f>VLOOKUP(H68,'Equipamiento y listas'!$A$22:$P$24,'Equipamiento y listas'!$C$29)</f>
        <v>#N/A</v>
      </c>
      <c r="M68" s="204"/>
    </row>
    <row r="69" spans="1:13" ht="29.1" customHeight="1" x14ac:dyDescent="0.2">
      <c r="B69" s="210" t="s">
        <v>28</v>
      </c>
      <c r="C69" s="210"/>
      <c r="D69" s="211" t="e">
        <f>VLOOKUP(H68,'Equipamiento y listas'!$A$22:$P$24,'Equipamiento y listas'!$E$29)</f>
        <v>#N/A</v>
      </c>
      <c r="E69" s="211"/>
      <c r="F69" s="212" t="s">
        <v>27</v>
      </c>
      <c r="G69" s="212"/>
      <c r="H69" s="160" t="e">
        <f>VLOOKUP(H68,'Equipamiento y listas'!$A$22:$P$24,'Equipamiento y listas'!$G$29)</f>
        <v>#N/A</v>
      </c>
      <c r="I69" s="160" t="e">
        <f>VLOOKUP(H68,'Equipamiento y listas'!$A$22:$P$24,'Equipamiento y listas'!$H$29)</f>
        <v>#N/A</v>
      </c>
      <c r="J69" s="213" t="s">
        <v>24</v>
      </c>
      <c r="K69" s="213"/>
      <c r="L69" s="214" t="e">
        <f>VLOOKUP(H68,'Equipamiento y listas'!$A$22:$P$24,'Equipamiento y listas'!$P$29)</f>
        <v>#N/A</v>
      </c>
      <c r="M69" s="214"/>
    </row>
    <row r="70" spans="1:13" ht="29.1" customHeight="1" x14ac:dyDescent="0.2">
      <c r="B70" s="215" t="s">
        <v>26</v>
      </c>
      <c r="C70" s="215"/>
      <c r="D70" s="214" t="e">
        <f>VLOOKUP(H68,'Equipamiento y listas'!$A$22:$P$24,'Equipamiento y listas'!$K$29)</f>
        <v>#N/A</v>
      </c>
      <c r="E70" s="214"/>
      <c r="F70" s="215" t="s">
        <v>25</v>
      </c>
      <c r="G70" s="215"/>
      <c r="H70" s="204" t="e">
        <f>VLOOKUP(H68,'Equipamiento y listas'!$A$22:$P$24,'Equipamiento y listas'!$L$29)</f>
        <v>#N/A</v>
      </c>
      <c r="I70" s="204"/>
      <c r="J70" s="215" t="s">
        <v>30</v>
      </c>
      <c r="K70" s="215"/>
      <c r="L70" s="204" t="e">
        <f>VLOOKUP(H68,'Equipamiento y listas'!$A$22:$P$24,'Equipamiento y listas'!$N$29)</f>
        <v>#N/A</v>
      </c>
      <c r="M70" s="204"/>
    </row>
    <row r="72" spans="1:13" ht="29.1" customHeight="1" x14ac:dyDescent="0.2">
      <c r="B72" s="205" t="s">
        <v>517</v>
      </c>
      <c r="C72" s="205"/>
      <c r="D72" s="205"/>
      <c r="E72" s="206"/>
      <c r="F72" s="207" t="s">
        <v>22</v>
      </c>
      <c r="G72" s="208"/>
      <c r="H72" s="209"/>
      <c r="I72" s="209"/>
      <c r="J72" s="208" t="s">
        <v>23</v>
      </c>
      <c r="K72" s="208"/>
      <c r="L72" s="204" t="e">
        <f>VLOOKUP(H72,'Equipamiento y listas'!$A$28:$P$28,'Equipamiento y listas'!$C$29)</f>
        <v>#N/A</v>
      </c>
      <c r="M72" s="204"/>
    </row>
    <row r="73" spans="1:13" ht="29.1" customHeight="1" x14ac:dyDescent="0.2">
      <c r="B73" s="210" t="s">
        <v>28</v>
      </c>
      <c r="C73" s="210"/>
      <c r="D73" s="211" t="e">
        <f>VLOOKUP(H72,'Equipamiento y listas'!$A$28:$P$28,'Equipamiento y listas'!$E$29)</f>
        <v>#N/A</v>
      </c>
      <c r="E73" s="211"/>
      <c r="F73" s="212" t="s">
        <v>27</v>
      </c>
      <c r="G73" s="212"/>
      <c r="H73" s="160" t="e">
        <f>VLOOKUP(H72,'Equipamiento y listas'!$A$28:$P$28,'Equipamiento y listas'!$G$29)</f>
        <v>#N/A</v>
      </c>
      <c r="I73" s="160" t="e">
        <f>VLOOKUP(H72,'Equipamiento y listas'!$A$28:$P$28,'Equipamiento y listas'!$H$29)</f>
        <v>#N/A</v>
      </c>
      <c r="J73" s="213" t="s">
        <v>24</v>
      </c>
      <c r="K73" s="213"/>
      <c r="L73" s="214" t="e">
        <f>VLOOKUP(H72,'Equipamiento y listas'!$A$28:$P$28,'Equipamiento y listas'!$P$29)</f>
        <v>#N/A</v>
      </c>
      <c r="M73" s="214"/>
    </row>
    <row r="74" spans="1:13" ht="29.1" customHeight="1" x14ac:dyDescent="0.2">
      <c r="B74" s="215" t="s">
        <v>26</v>
      </c>
      <c r="C74" s="215"/>
      <c r="D74" s="214" t="e">
        <f>VLOOKUP(H72,'Equipamiento y listas'!$A$28:$P$28,'Equipamiento y listas'!$K$29)</f>
        <v>#N/A</v>
      </c>
      <c r="E74" s="214"/>
      <c r="F74" s="215" t="s">
        <v>25</v>
      </c>
      <c r="G74" s="215"/>
      <c r="H74" s="204" t="e">
        <f>VLOOKUP(H72,'Equipamiento y listas'!$A$28:$P$28,'Equipamiento y listas'!$L$29)</f>
        <v>#N/A</v>
      </c>
      <c r="I74" s="204"/>
      <c r="J74" s="215" t="s">
        <v>30</v>
      </c>
      <c r="K74" s="215"/>
      <c r="L74" s="204" t="e">
        <f>VLOOKUP(H72,'Equipamiento y listas'!$A$28:$P$28,'Equipamiento y listas'!$N$29)</f>
        <v>#N/A</v>
      </c>
      <c r="M74" s="204"/>
    </row>
    <row r="76" spans="1:13" ht="29.1" customHeight="1" x14ac:dyDescent="0.2">
      <c r="B76" s="205" t="s">
        <v>226</v>
      </c>
      <c r="C76" s="205"/>
      <c r="D76" s="205"/>
      <c r="E76" s="206"/>
      <c r="F76" s="207" t="s">
        <v>22</v>
      </c>
      <c r="G76" s="208"/>
      <c r="H76" s="209"/>
      <c r="I76" s="209"/>
      <c r="J76" s="208" t="s">
        <v>23</v>
      </c>
      <c r="K76" s="208"/>
      <c r="L76" s="204" t="e">
        <f>VLOOKUP(H76,'Equipamiento y listas'!A25:P27,'Equipamiento y listas'!$C$29)</f>
        <v>#N/A</v>
      </c>
      <c r="M76" s="204"/>
    </row>
    <row r="77" spans="1:13" ht="29.1" customHeight="1" x14ac:dyDescent="0.2">
      <c r="B77" s="210" t="s">
        <v>28</v>
      </c>
      <c r="C77" s="210"/>
      <c r="D77" s="211" t="e">
        <f>VLOOKUP(H76,'Equipamiento y listas'!A25:P27,'Equipamiento y listas'!$E$29)</f>
        <v>#N/A</v>
      </c>
      <c r="E77" s="211"/>
      <c r="F77" s="212" t="s">
        <v>27</v>
      </c>
      <c r="G77" s="212"/>
      <c r="H77" s="160" t="e">
        <f>VLOOKUP(H76,'Equipamiento y listas'!A25:P27,'Equipamiento y listas'!$G$29)</f>
        <v>#N/A</v>
      </c>
      <c r="I77" s="160" t="e">
        <f>VLOOKUP(H76,'Equipamiento y listas'!A25:P27,'Equipamiento y listas'!$H$29)</f>
        <v>#N/A</v>
      </c>
      <c r="J77" s="213" t="s">
        <v>24</v>
      </c>
      <c r="K77" s="213"/>
      <c r="L77" s="214" t="e">
        <f>VLOOKUP(H76,'Equipamiento y listas'!A25:P27,'Equipamiento y listas'!$P$29)</f>
        <v>#N/A</v>
      </c>
      <c r="M77" s="214"/>
    </row>
    <row r="78" spans="1:13" ht="29.1" customHeight="1" x14ac:dyDescent="0.2">
      <c r="B78" s="215" t="s">
        <v>26</v>
      </c>
      <c r="C78" s="215"/>
      <c r="D78" s="214" t="e">
        <f>VLOOKUP(H76,'Equipamiento y listas'!A25:P27,'Equipamiento y listas'!$K$29)</f>
        <v>#N/A</v>
      </c>
      <c r="E78" s="214"/>
      <c r="F78" s="215" t="s">
        <v>25</v>
      </c>
      <c r="G78" s="215"/>
      <c r="H78" s="204" t="e">
        <f>VLOOKUP(H76,'Equipamiento y listas'!A25:P27,'Equipamiento y listas'!$L$29)</f>
        <v>#N/A</v>
      </c>
      <c r="I78" s="204"/>
      <c r="J78" s="215" t="s">
        <v>30</v>
      </c>
      <c r="K78" s="215"/>
      <c r="L78" s="204" t="e">
        <f>VLOOKUP(H76,'Equipamiento y listas'!A25:P27,'Equipamiento y listas'!$N$29)</f>
        <v>#N/A</v>
      </c>
      <c r="M78" s="204"/>
    </row>
    <row r="80" spans="1:13" ht="15" customHeight="1" x14ac:dyDescent="0.25">
      <c r="A80" s="161"/>
      <c r="B80" s="216" t="s">
        <v>421</v>
      </c>
      <c r="C80" s="216"/>
      <c r="D80" s="216"/>
      <c r="E80" s="216" t="s">
        <v>422</v>
      </c>
      <c r="F80" s="216"/>
      <c r="G80" s="216" t="s">
        <v>423</v>
      </c>
      <c r="H80" s="217"/>
    </row>
    <row r="81" spans="1:8" ht="15" customHeight="1" x14ac:dyDescent="0.25">
      <c r="A81" s="142" t="s">
        <v>424</v>
      </c>
      <c r="B81" s="221" t="s">
        <v>425</v>
      </c>
      <c r="C81" s="218"/>
      <c r="D81" s="218"/>
      <c r="E81" s="218" t="s">
        <v>426</v>
      </c>
      <c r="F81" s="218"/>
      <c r="G81" s="218" t="s">
        <v>427</v>
      </c>
      <c r="H81" s="218"/>
    </row>
    <row r="82" spans="1:8" ht="15" customHeight="1" x14ac:dyDescent="0.25">
      <c r="A82" s="142" t="s">
        <v>428</v>
      </c>
      <c r="B82" s="222" t="s">
        <v>429</v>
      </c>
      <c r="C82" s="219"/>
      <c r="D82" s="219"/>
      <c r="E82" s="219" t="s">
        <v>430</v>
      </c>
      <c r="F82" s="219"/>
      <c r="G82" s="219" t="s">
        <v>431</v>
      </c>
      <c r="H82" s="219"/>
    </row>
    <row r="83" spans="1:8" ht="15" x14ac:dyDescent="0.25">
      <c r="A83" s="143" t="s">
        <v>432</v>
      </c>
      <c r="B83" s="223">
        <v>45442</v>
      </c>
      <c r="C83" s="220"/>
      <c r="D83" s="220"/>
      <c r="E83" s="220">
        <v>45442</v>
      </c>
      <c r="F83" s="220"/>
      <c r="G83" s="220">
        <v>45477</v>
      </c>
      <c r="H83" s="220"/>
    </row>
  </sheetData>
  <mergeCells count="188">
    <mergeCell ref="B31:G31"/>
    <mergeCell ref="I31:N31"/>
    <mergeCell ref="B37:G37"/>
    <mergeCell ref="F10:G11"/>
    <mergeCell ref="J10:K11"/>
    <mergeCell ref="A51:N51"/>
    <mergeCell ref="B53:C54"/>
    <mergeCell ref="F53:G54"/>
    <mergeCell ref="I33:K33"/>
    <mergeCell ref="L33:N33"/>
    <mergeCell ref="I34:K34"/>
    <mergeCell ref="L34:N34"/>
    <mergeCell ref="L40:M40"/>
    <mergeCell ref="B47:D47"/>
    <mergeCell ref="E47:G47"/>
    <mergeCell ref="B41:D41"/>
    <mergeCell ref="E41:G41"/>
    <mergeCell ref="B42:D42"/>
    <mergeCell ref="E42:G42"/>
    <mergeCell ref="I47:J49"/>
    <mergeCell ref="K47:N48"/>
    <mergeCell ref="K45:N46"/>
    <mergeCell ref="I45:J46"/>
    <mergeCell ref="K49:N49"/>
    <mergeCell ref="F55:G56"/>
    <mergeCell ref="B55:C56"/>
    <mergeCell ref="B39:D39"/>
    <mergeCell ref="E39:G39"/>
    <mergeCell ref="L41:N41"/>
    <mergeCell ref="I42:K42"/>
    <mergeCell ref="L42:N42"/>
    <mergeCell ref="L10:M11"/>
    <mergeCell ref="B13:M14"/>
    <mergeCell ref="B15:C17"/>
    <mergeCell ref="D15:E17"/>
    <mergeCell ref="F15:G17"/>
    <mergeCell ref="H15:I17"/>
    <mergeCell ref="J15:K17"/>
    <mergeCell ref="L53:M54"/>
    <mergeCell ref="L43:M43"/>
    <mergeCell ref="I43:K43"/>
    <mergeCell ref="H53:I54"/>
    <mergeCell ref="H55:I56"/>
    <mergeCell ref="D55:E56"/>
    <mergeCell ref="B43:D43"/>
    <mergeCell ref="E43:G43"/>
    <mergeCell ref="B40:D40"/>
    <mergeCell ref="E40:G40"/>
    <mergeCell ref="L1:N2"/>
    <mergeCell ref="L3:N4"/>
    <mergeCell ref="L5:N6"/>
    <mergeCell ref="E44:G44"/>
    <mergeCell ref="E34:G34"/>
    <mergeCell ref="E35:G35"/>
    <mergeCell ref="B32:D32"/>
    <mergeCell ref="E32:G32"/>
    <mergeCell ref="A8:N8"/>
    <mergeCell ref="A29:N29"/>
    <mergeCell ref="A1:C6"/>
    <mergeCell ref="D1:K6"/>
    <mergeCell ref="B34:D34"/>
    <mergeCell ref="B35:D35"/>
    <mergeCell ref="B33:D33"/>
    <mergeCell ref="B38:D38"/>
    <mergeCell ref="B44:D44"/>
    <mergeCell ref="E33:G33"/>
    <mergeCell ref="E38:G38"/>
    <mergeCell ref="L15:L17"/>
    <mergeCell ref="M15:M17"/>
    <mergeCell ref="B10:C11"/>
    <mergeCell ref="D10:E11"/>
    <mergeCell ref="H10:I11"/>
    <mergeCell ref="A58:N58"/>
    <mergeCell ref="H60:I60"/>
    <mergeCell ref="J60:K60"/>
    <mergeCell ref="L60:M60"/>
    <mergeCell ref="I32:K32"/>
    <mergeCell ref="L32:N32"/>
    <mergeCell ref="I37:K37"/>
    <mergeCell ref="I40:K40"/>
    <mergeCell ref="E49:G49"/>
    <mergeCell ref="I38:K38"/>
    <mergeCell ref="I39:K39"/>
    <mergeCell ref="B45:D45"/>
    <mergeCell ref="E45:G45"/>
    <mergeCell ref="B46:D46"/>
    <mergeCell ref="E46:G46"/>
    <mergeCell ref="I35:K35"/>
    <mergeCell ref="L35:N35"/>
    <mergeCell ref="I36:K36"/>
    <mergeCell ref="L36:N36"/>
    <mergeCell ref="B60:E60"/>
    <mergeCell ref="F60:G60"/>
    <mergeCell ref="I41:K41"/>
    <mergeCell ref="J53:K54"/>
    <mergeCell ref="D53:E54"/>
    <mergeCell ref="B64:E64"/>
    <mergeCell ref="F64:G64"/>
    <mergeCell ref="H64:I64"/>
    <mergeCell ref="J64:K64"/>
    <mergeCell ref="L64:M64"/>
    <mergeCell ref="B61:C61"/>
    <mergeCell ref="J61:K61"/>
    <mergeCell ref="B62:C62"/>
    <mergeCell ref="D62:E62"/>
    <mergeCell ref="F62:G62"/>
    <mergeCell ref="H62:I62"/>
    <mergeCell ref="J62:K62"/>
    <mergeCell ref="L62:M62"/>
    <mergeCell ref="D61:E61"/>
    <mergeCell ref="F61:G61"/>
    <mergeCell ref="L61:M61"/>
    <mergeCell ref="B65:C65"/>
    <mergeCell ref="D65:E65"/>
    <mergeCell ref="F65:G65"/>
    <mergeCell ref="J65:K65"/>
    <mergeCell ref="L65:M65"/>
    <mergeCell ref="B66:C66"/>
    <mergeCell ref="D66:E66"/>
    <mergeCell ref="F66:G66"/>
    <mergeCell ref="H66:I66"/>
    <mergeCell ref="J66:K66"/>
    <mergeCell ref="F70:G70"/>
    <mergeCell ref="H70:I70"/>
    <mergeCell ref="J70:K70"/>
    <mergeCell ref="L66:M66"/>
    <mergeCell ref="B68:E68"/>
    <mergeCell ref="F68:G68"/>
    <mergeCell ref="H68:I68"/>
    <mergeCell ref="J68:K68"/>
    <mergeCell ref="L68:M68"/>
    <mergeCell ref="B80:D80"/>
    <mergeCell ref="B81:D81"/>
    <mergeCell ref="B82:D82"/>
    <mergeCell ref="B83:D83"/>
    <mergeCell ref="J55:K56"/>
    <mergeCell ref="L55:M56"/>
    <mergeCell ref="L78:M78"/>
    <mergeCell ref="B48:D48"/>
    <mergeCell ref="E48:G48"/>
    <mergeCell ref="B49:D49"/>
    <mergeCell ref="B77:C77"/>
    <mergeCell ref="D77:E77"/>
    <mergeCell ref="F77:G77"/>
    <mergeCell ref="J77:K77"/>
    <mergeCell ref="L77:M77"/>
    <mergeCell ref="B78:C78"/>
    <mergeCell ref="D78:E78"/>
    <mergeCell ref="F78:G78"/>
    <mergeCell ref="H78:I78"/>
    <mergeCell ref="J78:K78"/>
    <mergeCell ref="L74:M74"/>
    <mergeCell ref="B76:E76"/>
    <mergeCell ref="F76:G76"/>
    <mergeCell ref="H76:I76"/>
    <mergeCell ref="E80:F80"/>
    <mergeCell ref="G80:H80"/>
    <mergeCell ref="E81:F81"/>
    <mergeCell ref="G81:H81"/>
    <mergeCell ref="E82:F82"/>
    <mergeCell ref="G82:H82"/>
    <mergeCell ref="E83:F83"/>
    <mergeCell ref="G83:H83"/>
    <mergeCell ref="J76:K76"/>
    <mergeCell ref="L76:M76"/>
    <mergeCell ref="L70:M70"/>
    <mergeCell ref="B72:E72"/>
    <mergeCell ref="F72:G72"/>
    <mergeCell ref="H72:I72"/>
    <mergeCell ref="J72:K72"/>
    <mergeCell ref="L72:M72"/>
    <mergeCell ref="B69:C69"/>
    <mergeCell ref="D69:E69"/>
    <mergeCell ref="F69:G69"/>
    <mergeCell ref="J69:K69"/>
    <mergeCell ref="L69:M69"/>
    <mergeCell ref="B70:C70"/>
    <mergeCell ref="B73:C73"/>
    <mergeCell ref="D73:E73"/>
    <mergeCell ref="F73:G73"/>
    <mergeCell ref="J73:K73"/>
    <mergeCell ref="L73:M73"/>
    <mergeCell ref="B74:C74"/>
    <mergeCell ref="D74:E74"/>
    <mergeCell ref="F74:G74"/>
    <mergeCell ref="H74:I74"/>
    <mergeCell ref="J74:K74"/>
    <mergeCell ref="D70:E70"/>
  </mergeCells>
  <conditionalFormatting sqref="D70:E70">
    <cfRule type="expression" dxfId="99" priority="63">
      <formula>IF(AND(NOT(ISBLANK($H$68)),D70=0),TRUE())</formula>
    </cfRule>
  </conditionalFormatting>
  <conditionalFormatting sqref="H70:I70">
    <cfRule type="expression" dxfId="98" priority="62">
      <formula>IF(AND(NOT(ISBLANK($H$68)),H70=0),TRUE())</formula>
    </cfRule>
  </conditionalFormatting>
  <conditionalFormatting sqref="L70:M70">
    <cfRule type="expression" dxfId="97" priority="60">
      <formula>IF(AND(NOT(ISBLANK($H$68)),L70=0),TRUE())</formula>
    </cfRule>
  </conditionalFormatting>
  <conditionalFormatting sqref="D69:E69">
    <cfRule type="expression" dxfId="96" priority="59">
      <formula>IF(AND(NOT(ISBLANK($H$68)),D69=0),TRUE())</formula>
    </cfRule>
  </conditionalFormatting>
  <conditionalFormatting sqref="L68:M68">
    <cfRule type="expression" dxfId="95" priority="58">
      <formula>IF(AND(NOT(ISBLANK($H$68)),L68=0),TRUE())</formula>
    </cfRule>
  </conditionalFormatting>
  <conditionalFormatting sqref="H69">
    <cfRule type="expression" dxfId="94" priority="57">
      <formula>IF(AND(NOT(ISBLANK($H$68)),H69=0),TRUE())</formula>
    </cfRule>
  </conditionalFormatting>
  <conditionalFormatting sqref="I69">
    <cfRule type="expression" dxfId="93" priority="56">
      <formula>IF(AND(NOT(ISBLANK($H$68)),I69=0),TRUE())</formula>
    </cfRule>
  </conditionalFormatting>
  <conditionalFormatting sqref="D74:E74">
    <cfRule type="expression" dxfId="92" priority="55">
      <formula>IF(AND(NOT(ISBLANK($D$74)),D74=0),TRUE())</formula>
    </cfRule>
  </conditionalFormatting>
  <conditionalFormatting sqref="D73:E73">
    <cfRule type="expression" dxfId="91" priority="54">
      <formula>IF(AND(NOT(ISBLANK($D$73)),D73=0),TRUE())</formula>
    </cfRule>
  </conditionalFormatting>
  <conditionalFormatting sqref="D78:E78">
    <cfRule type="expression" dxfId="90" priority="53">
      <formula>IF(AND(NOT(ISBLANK($H$68)),D78=0),TRUE())</formula>
    </cfRule>
  </conditionalFormatting>
  <conditionalFormatting sqref="D77:E77">
    <cfRule type="expression" dxfId="89" priority="52">
      <formula>IF(AND(NOT(ISBLANK($H$68)),D77=0),TRUE())</formula>
    </cfRule>
  </conditionalFormatting>
  <conditionalFormatting sqref="D66:E66">
    <cfRule type="expression" dxfId="88" priority="51">
      <formula>IF(AND(NOT(ISBLANK($H$68)),D66=0),TRUE())</formula>
    </cfRule>
  </conditionalFormatting>
  <conditionalFormatting sqref="D65:E65">
    <cfRule type="expression" dxfId="87" priority="50">
      <formula>IF(AND(NOT(ISBLANK($H$68)),D65=0),TRUE())</formula>
    </cfRule>
  </conditionalFormatting>
  <conditionalFormatting sqref="D62:E62">
    <cfRule type="expression" dxfId="86" priority="49">
      <formula>IF(AND(NOT(ISBLANK($H$68)),D62=0),TRUE())</formula>
    </cfRule>
  </conditionalFormatting>
  <conditionalFormatting sqref="D61:E61">
    <cfRule type="expression" dxfId="85" priority="48">
      <formula>IF(AND(NOT(ISBLANK($H$68)),D61=0),TRUE())</formula>
    </cfRule>
  </conditionalFormatting>
  <conditionalFormatting sqref="H66:I66">
    <cfRule type="expression" dxfId="84" priority="47">
      <formula>IF(AND(NOT(ISBLANK($H$68)),H66=0),TRUE())</formula>
    </cfRule>
  </conditionalFormatting>
  <conditionalFormatting sqref="H65">
    <cfRule type="expression" dxfId="83" priority="46">
      <formula>IF(AND(NOT(ISBLANK($H$68)),H65=0),TRUE())</formula>
    </cfRule>
  </conditionalFormatting>
  <conditionalFormatting sqref="I65">
    <cfRule type="expression" dxfId="82" priority="45">
      <formula>IF(AND(NOT(ISBLANK($H$68)),I65=0),TRUE())</formula>
    </cfRule>
  </conditionalFormatting>
  <conditionalFormatting sqref="H62:I62">
    <cfRule type="expression" dxfId="81" priority="44">
      <formula>IF(AND(NOT(ISBLANK($H$68)),H62=0),TRUE())</formula>
    </cfRule>
  </conditionalFormatting>
  <conditionalFormatting sqref="H61">
    <cfRule type="expression" dxfId="80" priority="43">
      <formula>IF(AND(NOT(ISBLANK($H$68)),H61=0),TRUE())</formula>
    </cfRule>
  </conditionalFormatting>
  <conditionalFormatting sqref="I61">
    <cfRule type="expression" dxfId="79" priority="42">
      <formula>IF(AND(NOT(ISBLANK($H$68)),I61=0),TRUE())</formula>
    </cfRule>
  </conditionalFormatting>
  <conditionalFormatting sqref="H74:I74">
    <cfRule type="expression" dxfId="78" priority="41">
      <formula>IF(AND(NOT(ISBLANK($H$74)),H74=0),TRUE())</formula>
    </cfRule>
  </conditionalFormatting>
  <conditionalFormatting sqref="H73">
    <cfRule type="expression" dxfId="77" priority="40">
      <formula>IF(AND(NOT(ISBLANK($H$73)),H73=0),TRUE())</formula>
    </cfRule>
  </conditionalFormatting>
  <conditionalFormatting sqref="I73">
    <cfRule type="expression" dxfId="76" priority="39">
      <formula>IF(AND(NOT(ISBLANK($I$73)),I73=0),TRUE())</formula>
    </cfRule>
  </conditionalFormatting>
  <conditionalFormatting sqref="H78:I78">
    <cfRule type="expression" dxfId="75" priority="38">
      <formula>IF(AND(NOT(ISBLANK($H$68)),H78=0),TRUE())</formula>
    </cfRule>
  </conditionalFormatting>
  <conditionalFormatting sqref="H77">
    <cfRule type="expression" dxfId="74" priority="37">
      <formula>IF(AND(NOT(ISBLANK($H$68)),H77=0),TRUE())</formula>
    </cfRule>
  </conditionalFormatting>
  <conditionalFormatting sqref="I77">
    <cfRule type="expression" dxfId="73" priority="36">
      <formula>IF(AND(NOT(ISBLANK($H$68)),I77=0),TRUE())</formula>
    </cfRule>
  </conditionalFormatting>
  <conditionalFormatting sqref="L66:M66">
    <cfRule type="expression" dxfId="72" priority="34">
      <formula>IF(AND(NOT(ISBLANK($H$68)),L66=0),TRUE())</formula>
    </cfRule>
  </conditionalFormatting>
  <conditionalFormatting sqref="L64:M64">
    <cfRule type="expression" dxfId="71" priority="33">
      <formula>IF(AND(NOT(ISBLANK($H$68)),L64=0),TRUE())</formula>
    </cfRule>
  </conditionalFormatting>
  <conditionalFormatting sqref="L61:M61">
    <cfRule type="expression" dxfId="70" priority="23">
      <formula>IF(L61&lt;TODAY(),TRUE())</formula>
    </cfRule>
    <cfRule type="expression" dxfId="69" priority="32">
      <formula>IF(AND(NOT(ISBLANK($H$68)),L61=0),TRUE())</formula>
    </cfRule>
  </conditionalFormatting>
  <conditionalFormatting sqref="L62:M62">
    <cfRule type="expression" dxfId="68" priority="31">
      <formula>IF(AND(NOT(ISBLANK($H$68)),L62=0),TRUE())</formula>
    </cfRule>
  </conditionalFormatting>
  <conditionalFormatting sqref="L60:M60">
    <cfRule type="expression" dxfId="67" priority="30">
      <formula>IF(AND(NOT(ISBLANK($H$68)),L60=0),TRUE())</formula>
    </cfRule>
  </conditionalFormatting>
  <conditionalFormatting sqref="L74:M74">
    <cfRule type="expression" dxfId="66" priority="28">
      <formula>IF(AND(NOT(ISBLANK($L$74)),L74=0),TRUE())</formula>
    </cfRule>
  </conditionalFormatting>
  <conditionalFormatting sqref="L72:M72">
    <cfRule type="expression" dxfId="65" priority="27">
      <formula>IF(AND(NOT(ISBLANK($L$72)),L72=0),TRUE())</formula>
    </cfRule>
  </conditionalFormatting>
  <conditionalFormatting sqref="L78:M78">
    <cfRule type="expression" dxfId="64" priority="25">
      <formula>IF(AND(NOT(ISBLANK($H$68)),L78=0),TRUE())</formula>
    </cfRule>
  </conditionalFormatting>
  <conditionalFormatting sqref="L76:M76">
    <cfRule type="expression" dxfId="63" priority="24">
      <formula>IF(AND(NOT(ISBLANK($H$68)),L76=0),TRUE())</formula>
    </cfRule>
  </conditionalFormatting>
  <conditionalFormatting sqref="L65:M65">
    <cfRule type="expression" dxfId="62" priority="21">
      <formula>IF(L65&lt;TODAY(),TRUE())</formula>
    </cfRule>
    <cfRule type="expression" dxfId="61" priority="22">
      <formula>IF(AND(NOT(ISBLANK($H$68)),L65=0),TRUE())</formula>
    </cfRule>
  </conditionalFormatting>
  <conditionalFormatting sqref="L69:M69">
    <cfRule type="expression" dxfId="60" priority="19">
      <formula>IF(L69&lt;TODAY(),TRUE())</formula>
    </cfRule>
    <cfRule type="expression" dxfId="59" priority="20">
      <formula>IF(AND(NOT(ISBLANK($H$68)),L69=0),TRUE())</formula>
    </cfRule>
  </conditionalFormatting>
  <conditionalFormatting sqref="L73:M73">
    <cfRule type="expression" dxfId="58" priority="17">
      <formula>IF(L73&lt;TODAY(),TRUE())</formula>
    </cfRule>
    <cfRule type="expression" dxfId="57" priority="18">
      <formula>IF(AND(NOT(ISBLANK($H$68)),L73=0),TRUE())</formula>
    </cfRule>
  </conditionalFormatting>
  <conditionalFormatting sqref="L77:M77">
    <cfRule type="expression" dxfId="56" priority="15">
      <formula>IF(L77&lt;TODAY(),TRUE())</formula>
    </cfRule>
    <cfRule type="expression" dxfId="55" priority="16">
      <formula>IF(AND(NOT(ISBLANK($H$68)),L77=0),TRUE())</formula>
    </cfRule>
  </conditionalFormatting>
  <conditionalFormatting sqref="L42:N42">
    <cfRule type="cellIs" dxfId="54" priority="6" operator="lessThan">
      <formula>0.0005</formula>
    </cfRule>
  </conditionalFormatting>
  <dataValidations disablePrompts="1" count="1">
    <dataValidation type="list" allowBlank="1" showInputMessage="1" showErrorMessage="1" sqref="E39:G39" xr:uid="{0C0E9825-DE8C-4E7C-A8BE-4665CB9469AC}">
      <formula1>"Sí,No"</formula1>
    </dataValidation>
  </dataValidations>
  <pageMargins left="0.7" right="0.7" top="0.75" bottom="0.75" header="0.3" footer="0.3"/>
  <pageSetup paperSize="9" orientation="portrait" r:id="rId1"/>
  <ignoredErrors>
    <ignoredError sqref="H18:H27 J18:J27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2" id="{02771290-C6C0-42F8-A355-99CA4FBCD4D9}">
            <xm:f>IF($D$53='Equipamiento y listas'!$B$41,TRUE())</xm:f>
            <x14:dxf>
              <font>
                <color theme="1"/>
              </font>
              <fill>
                <patternFill patternType="darkGrid">
                  <bgColor theme="0"/>
                </patternFill>
              </fill>
            </x14:dxf>
          </x14:cfRule>
          <x14:cfRule type="expression" priority="113" id="{12B4C74F-7D17-4A1A-B828-6615DFDEB7F3}">
            <xm:f>IF(AND($D$53='Equipamiento y listas'!$B$42,ISBLANK(D55)), TRUE())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8">
        <x14:dataValidation type="list" allowBlank="1" showInputMessage="1" showErrorMessage="1" xr:uid="{69D1D31F-CFC6-48C7-8CBB-E1757CB00260}">
          <x14:formula1>
            <xm:f>'Equipamiento y listas'!$A$22:$A$24</xm:f>
          </x14:formula1>
          <xm:sqref>H68:I68</xm:sqref>
        </x14:dataValidation>
        <x14:dataValidation type="list" allowBlank="1" showInputMessage="1" showErrorMessage="1" xr:uid="{7A7F3B7D-81AE-4393-8CA2-8672FE187D44}">
          <x14:formula1>
            <xm:f>'Equipamiento y listas'!$A$28:$A$28</xm:f>
          </x14:formula1>
          <xm:sqref>H72:I72</xm:sqref>
        </x14:dataValidation>
        <x14:dataValidation type="list" allowBlank="1" showInputMessage="1" showErrorMessage="1" xr:uid="{8466D0DA-4C9A-4FFE-8B8E-0CF6F8D05A8C}">
          <x14:formula1>
            <xm:f>'Equipamiento y listas'!$A$25:$A$27</xm:f>
          </x14:formula1>
          <xm:sqref>H76:I76</xm:sqref>
        </x14:dataValidation>
        <x14:dataValidation type="list" allowBlank="1" showInputMessage="1" showErrorMessage="1" xr:uid="{B22A568C-F37F-4773-B43C-4D5D81D1F4B8}">
          <x14:formula1>
            <xm:f>'Equipamiento y listas'!$F$36:$F$48</xm:f>
          </x14:formula1>
          <xm:sqref>N37 L53:M54</xm:sqref>
        </x14:dataValidation>
        <x14:dataValidation type="list" allowBlank="1" showInputMessage="1" showErrorMessage="1" xr:uid="{6F20C941-9E16-473B-AC10-49526E2F201A}">
          <x14:formula1>
            <xm:f>'Equipamiento y listas'!$B$41:$B$42</xm:f>
          </x14:formula1>
          <xm:sqref>D53</xm:sqref>
        </x14:dataValidation>
        <x14:dataValidation type="list" allowBlank="1" showInputMessage="1" showErrorMessage="1" xr:uid="{8E8087F6-2B79-4C9E-ACD0-E2598308980C}">
          <x14:formula1>
            <xm:f>'Equipamiento y listas'!$B$46:$B$47</xm:f>
          </x14:formula1>
          <xm:sqref>E41:G41</xm:sqref>
        </x14:dataValidation>
        <x14:dataValidation type="list" allowBlank="1" showInputMessage="1" showErrorMessage="1" xr:uid="{9ED673BD-586E-4952-947B-7EBB185B5587}">
          <x14:formula1>
            <xm:f>'Equipamiento y listas'!$A$14:$A$17</xm:f>
          </x14:formula1>
          <xm:sqref>H60:I60</xm:sqref>
        </x14:dataValidation>
        <x14:dataValidation type="list" allowBlank="1" showInputMessage="1" showErrorMessage="1" xr:uid="{3C5AC36C-741C-4510-9AF2-ECDB9B0CBF6E}">
          <x14:formula1>
            <xm:f>'Equipamiento y listas'!$A$18:$A$21</xm:f>
          </x14:formula1>
          <xm:sqref>H64:I64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43315-A927-478A-8935-7DA78ED01E1E}">
  <dimension ref="A1:M253"/>
  <sheetViews>
    <sheetView topLeftCell="A19" zoomScaleNormal="100" workbookViewId="0">
      <selection activeCell="A7" sqref="A7"/>
    </sheetView>
  </sheetViews>
  <sheetFormatPr baseColWidth="10" defaultColWidth="11.5703125" defaultRowHeight="14.25" x14ac:dyDescent="0.2"/>
  <cols>
    <col min="1" max="13" width="12.5703125" style="62" customWidth="1"/>
    <col min="14" max="16384" width="11.5703125" style="62"/>
  </cols>
  <sheetData>
    <row r="1" spans="1:13" ht="15" customHeight="1" thickBot="1" x14ac:dyDescent="0.25">
      <c r="A1" s="357"/>
      <c r="B1" s="358"/>
      <c r="C1" s="358"/>
      <c r="D1" s="366" t="str">
        <f>'Información general'!D1:K6</f>
        <v>CALIBRACIÓN DE MANÓMETROS, VACUÓMETROS Y MANOVACUÓMETROS</v>
      </c>
      <c r="E1" s="367"/>
      <c r="F1" s="367"/>
      <c r="G1" s="367"/>
      <c r="H1" s="367"/>
      <c r="I1" s="367"/>
      <c r="J1" s="368"/>
      <c r="K1" s="247" t="str">
        <f>'Información general'!L1</f>
        <v>Código: Cp-F01</v>
      </c>
      <c r="L1" s="247"/>
      <c r="M1" s="247"/>
    </row>
    <row r="2" spans="1:13" ht="15" customHeight="1" thickBot="1" x14ac:dyDescent="0.25">
      <c r="A2" s="359"/>
      <c r="B2" s="360"/>
      <c r="C2" s="360"/>
      <c r="D2" s="369"/>
      <c r="E2" s="370"/>
      <c r="F2" s="370"/>
      <c r="G2" s="370"/>
      <c r="H2" s="370"/>
      <c r="I2" s="370"/>
      <c r="J2" s="371"/>
      <c r="K2" s="247"/>
      <c r="L2" s="247"/>
      <c r="M2" s="247"/>
    </row>
    <row r="3" spans="1:13" ht="15" customHeight="1" thickBot="1" x14ac:dyDescent="0.25">
      <c r="A3" s="359"/>
      <c r="B3" s="360"/>
      <c r="C3" s="360"/>
      <c r="D3" s="369"/>
      <c r="E3" s="370"/>
      <c r="F3" s="370"/>
      <c r="G3" s="370"/>
      <c r="H3" s="370"/>
      <c r="I3" s="370"/>
      <c r="J3" s="371"/>
      <c r="K3" s="247" t="str">
        <f>'Información general'!L3</f>
        <v>Versión: 02</v>
      </c>
      <c r="L3" s="247"/>
      <c r="M3" s="247"/>
    </row>
    <row r="4" spans="1:13" ht="15" customHeight="1" thickBot="1" x14ac:dyDescent="0.25">
      <c r="A4" s="359"/>
      <c r="B4" s="360"/>
      <c r="C4" s="360"/>
      <c r="D4" s="369"/>
      <c r="E4" s="370"/>
      <c r="F4" s="370"/>
      <c r="G4" s="370"/>
      <c r="H4" s="370"/>
      <c r="I4" s="370"/>
      <c r="J4" s="371"/>
      <c r="K4" s="247"/>
      <c r="L4" s="247"/>
      <c r="M4" s="247"/>
    </row>
    <row r="5" spans="1:13" ht="15" customHeight="1" thickBot="1" x14ac:dyDescent="0.25">
      <c r="A5" s="359"/>
      <c r="B5" s="360"/>
      <c r="C5" s="360"/>
      <c r="D5" s="369"/>
      <c r="E5" s="370"/>
      <c r="F5" s="370"/>
      <c r="G5" s="370"/>
      <c r="H5" s="370"/>
      <c r="I5" s="370"/>
      <c r="J5" s="371"/>
      <c r="K5" s="247" t="str">
        <f>'Información general'!L5</f>
        <v>Fecha: 2024-06-11</v>
      </c>
      <c r="L5" s="247"/>
      <c r="M5" s="247"/>
    </row>
    <row r="6" spans="1:13" ht="15" customHeight="1" thickBot="1" x14ac:dyDescent="0.25">
      <c r="A6" s="361"/>
      <c r="B6" s="362"/>
      <c r="C6" s="362"/>
      <c r="D6" s="372"/>
      <c r="E6" s="373"/>
      <c r="F6" s="373"/>
      <c r="G6" s="373"/>
      <c r="H6" s="373"/>
      <c r="I6" s="373"/>
      <c r="J6" s="374"/>
      <c r="K6" s="247"/>
      <c r="L6" s="247"/>
      <c r="M6" s="247"/>
    </row>
    <row r="8" spans="1:13" ht="24.95" customHeight="1" x14ac:dyDescent="0.2">
      <c r="A8" s="234" t="s">
        <v>111</v>
      </c>
      <c r="B8" s="234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</row>
    <row r="10" spans="1:13" x14ac:dyDescent="0.2">
      <c r="B10" s="339"/>
      <c r="C10" s="340"/>
      <c r="D10" s="346" t="s">
        <v>233</v>
      </c>
      <c r="E10" s="346"/>
      <c r="F10" s="346"/>
      <c r="G10" s="346"/>
      <c r="H10" s="346"/>
      <c r="I10" s="346"/>
      <c r="J10" s="347"/>
      <c r="K10" s="228"/>
      <c r="L10" s="209"/>
    </row>
    <row r="11" spans="1:13" x14ac:dyDescent="0.2">
      <c r="B11" s="339"/>
      <c r="C11" s="340"/>
      <c r="D11" s="341"/>
      <c r="E11" s="341"/>
      <c r="F11" s="341"/>
      <c r="G11" s="341"/>
      <c r="H11" s="341"/>
      <c r="I11" s="341"/>
      <c r="J11" s="342"/>
      <c r="K11" s="228"/>
      <c r="L11" s="209"/>
    </row>
    <row r="12" spans="1:13" x14ac:dyDescent="0.2">
      <c r="B12" s="339"/>
      <c r="C12" s="340"/>
      <c r="D12" s="341" t="s">
        <v>119</v>
      </c>
      <c r="E12" s="341"/>
      <c r="F12" s="341"/>
      <c r="G12" s="341"/>
      <c r="H12" s="341"/>
      <c r="I12" s="341"/>
      <c r="J12" s="342"/>
      <c r="K12" s="228"/>
      <c r="L12" s="209"/>
    </row>
    <row r="13" spans="1:13" x14ac:dyDescent="0.2">
      <c r="B13" s="339"/>
      <c r="C13" s="340"/>
      <c r="D13" s="341"/>
      <c r="E13" s="341"/>
      <c r="F13" s="341"/>
      <c r="G13" s="341"/>
      <c r="H13" s="341"/>
      <c r="I13" s="341"/>
      <c r="J13" s="342"/>
      <c r="K13" s="228"/>
      <c r="L13" s="209"/>
    </row>
    <row r="14" spans="1:13" x14ac:dyDescent="0.2">
      <c r="B14" s="339"/>
      <c r="C14" s="340"/>
      <c r="D14" s="341" t="s">
        <v>234</v>
      </c>
      <c r="E14" s="341"/>
      <c r="F14" s="341"/>
      <c r="G14" s="341"/>
      <c r="H14" s="341"/>
      <c r="I14" s="341"/>
      <c r="J14" s="342"/>
      <c r="K14" s="228"/>
      <c r="L14" s="209"/>
    </row>
    <row r="15" spans="1:13" x14ac:dyDescent="0.2">
      <c r="B15" s="339"/>
      <c r="C15" s="340"/>
      <c r="D15" s="341"/>
      <c r="E15" s="341"/>
      <c r="F15" s="341"/>
      <c r="G15" s="341"/>
      <c r="H15" s="341"/>
      <c r="I15" s="341"/>
      <c r="J15" s="342"/>
      <c r="K15" s="228"/>
      <c r="L15" s="209"/>
    </row>
    <row r="16" spans="1:13" x14ac:dyDescent="0.2">
      <c r="B16" s="339"/>
      <c r="C16" s="340"/>
      <c r="D16" s="341" t="s">
        <v>238</v>
      </c>
      <c r="E16" s="341"/>
      <c r="F16" s="341"/>
      <c r="G16" s="341"/>
      <c r="H16" s="341"/>
      <c r="I16" s="341"/>
      <c r="J16" s="342"/>
      <c r="K16" s="228"/>
      <c r="L16" s="209"/>
    </row>
    <row r="17" spans="1:13" x14ac:dyDescent="0.2">
      <c r="B17" s="339"/>
      <c r="C17" s="340"/>
      <c r="D17" s="341"/>
      <c r="E17" s="341"/>
      <c r="F17" s="341"/>
      <c r="G17" s="341"/>
      <c r="H17" s="341"/>
      <c r="I17" s="341"/>
      <c r="J17" s="342"/>
      <c r="K17" s="228"/>
      <c r="L17" s="209"/>
    </row>
    <row r="18" spans="1:13" x14ac:dyDescent="0.2">
      <c r="B18" s="339"/>
      <c r="C18" s="340"/>
      <c r="D18" s="341" t="s">
        <v>235</v>
      </c>
      <c r="E18" s="341"/>
      <c r="F18" s="341"/>
      <c r="G18" s="341"/>
      <c r="H18" s="341"/>
      <c r="I18" s="341"/>
      <c r="J18" s="342"/>
      <c r="K18" s="228"/>
      <c r="L18" s="209"/>
    </row>
    <row r="19" spans="1:13" x14ac:dyDescent="0.2">
      <c r="B19" s="339"/>
      <c r="C19" s="340"/>
      <c r="D19" s="341"/>
      <c r="E19" s="341"/>
      <c r="F19" s="341"/>
      <c r="G19" s="341"/>
      <c r="H19" s="341"/>
      <c r="I19" s="341"/>
      <c r="J19" s="342"/>
      <c r="K19" s="228"/>
      <c r="L19" s="209"/>
    </row>
    <row r="20" spans="1:13" x14ac:dyDescent="0.2">
      <c r="B20" s="339"/>
      <c r="C20" s="340"/>
      <c r="D20" s="348" t="s">
        <v>120</v>
      </c>
      <c r="E20" s="349"/>
      <c r="F20" s="349"/>
      <c r="G20" s="349"/>
      <c r="H20" s="349"/>
      <c r="I20" s="349"/>
      <c r="J20" s="350"/>
      <c r="K20" s="351"/>
      <c r="L20" s="352"/>
    </row>
    <row r="21" spans="1:13" x14ac:dyDescent="0.2">
      <c r="B21" s="339"/>
      <c r="C21" s="340"/>
      <c r="D21" s="348"/>
      <c r="E21" s="349"/>
      <c r="F21" s="349"/>
      <c r="G21" s="349"/>
      <c r="H21" s="349"/>
      <c r="I21" s="349"/>
      <c r="J21" s="350"/>
      <c r="K21" s="353"/>
      <c r="L21" s="354"/>
    </row>
    <row r="22" spans="1:13" x14ac:dyDescent="0.2">
      <c r="B22" s="339"/>
      <c r="C22" s="340"/>
      <c r="D22" s="341" t="s">
        <v>236</v>
      </c>
      <c r="E22" s="341"/>
      <c r="F22" s="341"/>
      <c r="G22" s="341"/>
      <c r="H22" s="341"/>
      <c r="I22" s="341"/>
      <c r="J22" s="342"/>
      <c r="K22" s="228"/>
      <c r="L22" s="209"/>
    </row>
    <row r="23" spans="1:13" x14ac:dyDescent="0.2">
      <c r="B23" s="339"/>
      <c r="C23" s="340"/>
      <c r="D23" s="375"/>
      <c r="E23" s="375"/>
      <c r="F23" s="375"/>
      <c r="G23" s="375"/>
      <c r="H23" s="375"/>
      <c r="I23" s="375"/>
      <c r="J23" s="376"/>
      <c r="K23" s="228"/>
      <c r="L23" s="209"/>
    </row>
    <row r="25" spans="1:13" ht="24.95" customHeight="1" x14ac:dyDescent="0.2">
      <c r="A25" s="363" t="s">
        <v>242</v>
      </c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</row>
    <row r="27" spans="1:13" ht="14.45" customHeight="1" x14ac:dyDescent="0.2">
      <c r="B27" s="365" t="s">
        <v>243</v>
      </c>
      <c r="C27" s="345" t="str">
        <f>_xlfn.CONCAT(TEXT('Información general'!L38,"0.00")," ",'Información general'!N37," - ",TEXT(('Información general'!M38-'Información general'!L38)/3,"0.00")," ",'Información general'!N37)</f>
        <v>0.00 psi - 0.00 psi</v>
      </c>
      <c r="D27" s="345"/>
      <c r="F27" s="274" t="s">
        <v>239</v>
      </c>
      <c r="G27" s="364" t="str">
        <f>_xlfn.CONCAT("Indicación, [",'Información general'!N37,"]")</f>
        <v>Indicación, [psi]</v>
      </c>
      <c r="H27" s="318" t="str">
        <f>_xlfn.CONCAT("EMP, [",'Información general'!N37,"]")</f>
        <v>EMP, [psi]</v>
      </c>
      <c r="I27" s="364" t="str">
        <f>_xlfn.CONCAT("Indicación 
del patrón, [",'Información general'!L53,"]")</f>
        <v>Indicación 
del patrón, []</v>
      </c>
      <c r="J27" s="364" t="str">
        <f>_xlfn.CONCAT("Indicación del IBC, [",'Información general'!N37,"]")</f>
        <v>Indicación del IBC, [psi]</v>
      </c>
      <c r="K27" s="364" t="str">
        <f>_xlfn.CONCAT("Corrección a la indicación, [",'Información general'!N37,"]")</f>
        <v>Corrección a la indicación, [psi]</v>
      </c>
      <c r="L27" s="329" t="s">
        <v>241</v>
      </c>
    </row>
    <row r="28" spans="1:13" x14ac:dyDescent="0.2">
      <c r="B28" s="343"/>
      <c r="C28" s="345"/>
      <c r="D28" s="345"/>
      <c r="F28" s="277"/>
      <c r="G28" s="364"/>
      <c r="H28" s="318"/>
      <c r="I28" s="364"/>
      <c r="J28" s="364"/>
      <c r="K28" s="364"/>
      <c r="L28" s="329"/>
    </row>
    <row r="29" spans="1:13" x14ac:dyDescent="0.2">
      <c r="B29" s="343" t="s">
        <v>244</v>
      </c>
      <c r="C29" s="345" t="str">
        <f>_xlfn.CONCAT(TEXT(('Información general'!M38-'Información general'!L38)/3,"0.00")," ",'Información general'!N37," - ",TEXT(2*('Información general'!M38-'Información general'!L38)/3,"0.00")," ",'Información general'!N37)</f>
        <v>0.00 psi - 0.00 psi</v>
      </c>
      <c r="D29" s="345"/>
      <c r="F29" s="277"/>
      <c r="G29" s="275"/>
      <c r="H29" s="319"/>
      <c r="I29" s="275"/>
      <c r="J29" s="275"/>
      <c r="K29" s="275"/>
      <c r="L29" s="330"/>
    </row>
    <row r="30" spans="1:13" x14ac:dyDescent="0.2">
      <c r="B30" s="343"/>
      <c r="C30" s="345"/>
      <c r="D30" s="345"/>
      <c r="F30" s="162" t="s">
        <v>246</v>
      </c>
      <c r="G30" s="163"/>
      <c r="H30" s="164"/>
      <c r="I30" s="164"/>
      <c r="J30" s="164"/>
      <c r="K30" s="165" t="e">
        <f ca="1">I30*LOOKUP('Información general'!$L$53,'Equipamiento y listas'!$J$36:$J$48,'Equipamiento y listas'!$L$36:$L$48)*LOOKUP('Información general'!$N$37,'Equipamiento y listas'!$K$49:$K$60,'Equipamiento y listas'!$L$49:$L$61)-J30+IF('Información general'!$D$53='Equipamiento y listas'!$B$42,($B$245-$B$215)*9.8*('Información general'!$H$53-'Información general'!$H$55)*LOOKUP("psi",'Equipamiento y listas'!$K$49:$K$61,'Equipamiento y listas'!$L$49:$L$61)/1000,0)</f>
        <v>#N/A</v>
      </c>
      <c r="L30" s="165" t="e">
        <f ca="1">IF(ABS(K30)&lt;=H30,"Sí","No")</f>
        <v>#N/A</v>
      </c>
    </row>
    <row r="31" spans="1:13" x14ac:dyDescent="0.2">
      <c r="B31" s="343" t="s">
        <v>245</v>
      </c>
      <c r="C31" s="345" t="str">
        <f>_xlfn.CONCAT(TEXT(2*('Información general'!M38-'Información general'!L38)/3,"0.00")," ",'Información general'!N37," - ",TEXT('Información general'!M38,"0.00")," ",'Información general'!N37)</f>
        <v>0.00 psi - 0.00 psi</v>
      </c>
      <c r="D31" s="345"/>
      <c r="F31" s="162" t="s">
        <v>247</v>
      </c>
      <c r="G31" s="166"/>
      <c r="H31" s="141"/>
      <c r="I31" s="141"/>
      <c r="J31" s="141"/>
      <c r="K31" s="165" t="e">
        <f ca="1">I31*LOOKUP('Información general'!$L$53,'Equipamiento y listas'!$J$36:$J$48,'Equipamiento y listas'!$L$36:$L$48)*LOOKUP('Información general'!$N$37,'Equipamiento y listas'!$K$49:$K$60,'Equipamiento y listas'!$L$49:$L$61)-J31+IF('Información general'!$D$53='Equipamiento y listas'!$B$42,($B$245-$B$215)*9.8*('Información general'!$H$53-'Información general'!$H$55)*LOOKUP("psi",'Equipamiento y listas'!$K$49:$K$61,'Equipamiento y listas'!$L$49:$L$61)/1000,0)</f>
        <v>#N/A</v>
      </c>
      <c r="L31" s="165" t="e">
        <f ca="1">IF(ABS(K31)&lt;=H31,"Sí","No")</f>
        <v>#N/A</v>
      </c>
    </row>
    <row r="32" spans="1:13" x14ac:dyDescent="0.2">
      <c r="B32" s="344"/>
      <c r="C32" s="345"/>
      <c r="D32" s="345"/>
      <c r="F32" s="167" t="s">
        <v>248</v>
      </c>
      <c r="G32" s="166"/>
      <c r="H32" s="141"/>
      <c r="I32" s="141"/>
      <c r="J32" s="141"/>
      <c r="K32" s="165" t="e">
        <f ca="1">I32*LOOKUP('Información general'!$L$53,'Equipamiento y listas'!$J$36:$J$48,'Equipamiento y listas'!$L$36:$L$48)*LOOKUP('Información general'!$N$37,'Equipamiento y listas'!$K$49:$K$60,'Equipamiento y listas'!$L$49:$L$61)-J32+IF('Información general'!$D$53='Equipamiento y listas'!$B$42,($B$245-$B$215)*9.8*('Información general'!$H$53-'Información general'!$H$55)*LOOKUP("psi",'Equipamiento y listas'!$K$49:$K$61,'Equipamiento y listas'!$L$49:$L$61)/1000,0)</f>
        <v>#N/A</v>
      </c>
      <c r="L32" s="165" t="e">
        <f ca="1">IF(ABS(K32)&lt;=H32,"Sí","No")</f>
        <v>#N/A</v>
      </c>
    </row>
    <row r="34" spans="1:13" ht="24.95" customHeight="1" x14ac:dyDescent="0.2">
      <c r="A34" s="363" t="s">
        <v>109</v>
      </c>
      <c r="B34" s="363"/>
      <c r="C34" s="363"/>
      <c r="D34" s="363"/>
      <c r="E34" s="363"/>
      <c r="F34" s="363"/>
      <c r="G34" s="363"/>
      <c r="H34" s="363"/>
      <c r="I34" s="363"/>
      <c r="J34" s="363"/>
      <c r="K34" s="363"/>
      <c r="L34" s="363"/>
      <c r="M34" s="363"/>
    </row>
    <row r="36" spans="1:13" x14ac:dyDescent="0.2">
      <c r="B36" s="312" t="s">
        <v>110</v>
      </c>
      <c r="C36" s="312"/>
      <c r="D36" s="312"/>
      <c r="E36" s="312"/>
      <c r="F36" s="312"/>
      <c r="G36" s="312"/>
      <c r="H36" s="312"/>
      <c r="I36" s="312"/>
      <c r="J36" s="312"/>
      <c r="K36" s="312"/>
      <c r="L36" s="323"/>
    </row>
    <row r="37" spans="1:13" x14ac:dyDescent="0.2">
      <c r="B37" s="338"/>
      <c r="C37" s="338"/>
      <c r="D37" s="338"/>
      <c r="E37" s="338"/>
      <c r="F37" s="338"/>
      <c r="G37" s="338"/>
      <c r="H37" s="338"/>
      <c r="I37" s="338"/>
      <c r="J37" s="338"/>
      <c r="K37" s="338"/>
      <c r="L37" s="325"/>
    </row>
    <row r="38" spans="1:13" ht="20.100000000000001" customHeight="1" x14ac:dyDescent="0.2">
      <c r="B38" s="336" t="s">
        <v>45</v>
      </c>
      <c r="C38" s="337"/>
      <c r="D38" s="337"/>
      <c r="E38" s="168"/>
      <c r="F38" s="169" t="s">
        <v>16</v>
      </c>
      <c r="G38" s="170"/>
      <c r="H38" s="337" t="s">
        <v>46</v>
      </c>
      <c r="I38" s="337"/>
      <c r="J38" s="337"/>
      <c r="K38" s="168"/>
      <c r="L38" s="171" t="s">
        <v>48</v>
      </c>
    </row>
    <row r="40" spans="1:13" ht="14.45" customHeight="1" x14ac:dyDescent="0.2">
      <c r="A40" s="274" t="str">
        <f>_xlfn.CONCAT("Indicación bajo calibración, [",'Información general'!N37,"]")</f>
        <v>Indicación bajo calibración, [psi]</v>
      </c>
      <c r="B40" s="275" t="s">
        <v>253</v>
      </c>
      <c r="C40" s="275"/>
      <c r="D40" s="275"/>
      <c r="E40" s="275"/>
      <c r="F40" s="275" t="s">
        <v>254</v>
      </c>
      <c r="G40" s="275"/>
      <c r="H40" s="275"/>
      <c r="I40" s="275"/>
      <c r="J40" s="275" t="s">
        <v>255</v>
      </c>
      <c r="K40" s="275"/>
      <c r="L40" s="275"/>
      <c r="M40" s="276"/>
    </row>
    <row r="41" spans="1:13" x14ac:dyDescent="0.2">
      <c r="A41" s="277"/>
      <c r="B41" s="254"/>
      <c r="C41" s="254"/>
      <c r="D41" s="254"/>
      <c r="E41" s="254"/>
      <c r="F41" s="254"/>
      <c r="G41" s="254"/>
      <c r="H41" s="254"/>
      <c r="I41" s="254"/>
      <c r="J41" s="254"/>
      <c r="K41" s="254"/>
      <c r="L41" s="254"/>
      <c r="M41" s="255"/>
    </row>
    <row r="42" spans="1:13" x14ac:dyDescent="0.2">
      <c r="A42" s="277"/>
      <c r="B42" s="254" t="s">
        <v>256</v>
      </c>
      <c r="C42" s="254"/>
      <c r="D42" s="254" t="s">
        <v>257</v>
      </c>
      <c r="E42" s="254"/>
      <c r="F42" s="254" t="s">
        <v>256</v>
      </c>
      <c r="G42" s="254"/>
      <c r="H42" s="254" t="s">
        <v>257</v>
      </c>
      <c r="I42" s="254"/>
      <c r="J42" s="254" t="s">
        <v>256</v>
      </c>
      <c r="K42" s="254"/>
      <c r="L42" s="254" t="s">
        <v>257</v>
      </c>
      <c r="M42" s="255"/>
    </row>
    <row r="43" spans="1:13" x14ac:dyDescent="0.2">
      <c r="A43" s="277"/>
      <c r="B43" s="254"/>
      <c r="C43" s="254"/>
      <c r="D43" s="254"/>
      <c r="E43" s="254"/>
      <c r="F43" s="254"/>
      <c r="G43" s="254"/>
      <c r="H43" s="254"/>
      <c r="I43" s="254"/>
      <c r="J43" s="254"/>
      <c r="K43" s="254"/>
      <c r="L43" s="254"/>
      <c r="M43" s="255"/>
    </row>
    <row r="44" spans="1:13" ht="14.45" customHeight="1" x14ac:dyDescent="0.2">
      <c r="A44" s="277"/>
      <c r="B44" s="254" t="str">
        <f>_xlfn.CONCAT("Indicación 
del patrón, 
[",'Información general'!$L$53,"]")</f>
        <v>Indicación 
del patrón, 
[]</v>
      </c>
      <c r="C44" s="254" t="str">
        <f>_xlfn.CONCAT("Indicación 
del IBC, 
[",'Información general'!$N$37,"]")</f>
        <v>Indicación 
del IBC, 
[psi]</v>
      </c>
      <c r="D44" s="254" t="str">
        <f>_xlfn.CONCAT("Indicación 
del patrón, 
[",'Información general'!$L$53,"]")</f>
        <v>Indicación 
del patrón, 
[]</v>
      </c>
      <c r="E44" s="254" t="str">
        <f>_xlfn.CONCAT("Indicación 
del IBC, 
[",'Información general'!$N$37,"]")</f>
        <v>Indicación 
del IBC, 
[psi]</v>
      </c>
      <c r="F44" s="254" t="str">
        <f>_xlfn.CONCAT("Indicación 
del patrón, 
[",'Información general'!$L$53,"]")</f>
        <v>Indicación 
del patrón, 
[]</v>
      </c>
      <c r="G44" s="254" t="str">
        <f>_xlfn.CONCAT("Indicación 
del IBC, 
[",'Información general'!$N$37,"]")</f>
        <v>Indicación 
del IBC, 
[psi]</v>
      </c>
      <c r="H44" s="254" t="str">
        <f>_xlfn.CONCAT("Indicación 
del patrón, 
[",'Información general'!$L$53,"]")</f>
        <v>Indicación 
del patrón, 
[]</v>
      </c>
      <c r="I44" s="254" t="str">
        <f>_xlfn.CONCAT("Indicación 
del IBC, 
[",'Información general'!$N$37,"]")</f>
        <v>Indicación 
del IBC, 
[psi]</v>
      </c>
      <c r="J44" s="254" t="str">
        <f>_xlfn.CONCAT("Indicación 
del patrón, 
[",'Información general'!$L$53,"]")</f>
        <v>Indicación 
del patrón, 
[]</v>
      </c>
      <c r="K44" s="254" t="str">
        <f>_xlfn.CONCAT("Indicación 
del IBC, 
[",'Información general'!$N$37,"]")</f>
        <v>Indicación 
del IBC, 
[psi]</v>
      </c>
      <c r="L44" s="254" t="str">
        <f>_xlfn.CONCAT("Indicación 
del patrón, 
[",'Información general'!$L$53,"]")</f>
        <v>Indicación 
del patrón, 
[]</v>
      </c>
      <c r="M44" s="255" t="str">
        <f>_xlfn.CONCAT("Indicación 
del IBC, 
[",'Información general'!$N$37,"]")</f>
        <v>Indicación 
del IBC, 
[psi]</v>
      </c>
    </row>
    <row r="45" spans="1:13" x14ac:dyDescent="0.2">
      <c r="A45" s="277"/>
      <c r="B45" s="254"/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5"/>
    </row>
    <row r="46" spans="1:13" x14ac:dyDescent="0.2">
      <c r="A46" s="277"/>
      <c r="B46" s="254"/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5"/>
    </row>
    <row r="47" spans="1:13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3"/>
      <c r="K47" s="173"/>
      <c r="L47" s="173"/>
      <c r="M47" s="173"/>
    </row>
    <row r="48" spans="1:13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74"/>
      <c r="K48" s="174"/>
      <c r="L48" s="174"/>
      <c r="M48" s="174"/>
    </row>
    <row r="49" spans="1:13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74"/>
      <c r="K49" s="174"/>
      <c r="L49" s="174"/>
      <c r="M49" s="174"/>
    </row>
    <row r="50" spans="1:13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74"/>
      <c r="K50" s="174"/>
      <c r="L50" s="174"/>
      <c r="M50" s="174"/>
    </row>
    <row r="51" spans="1:13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74"/>
      <c r="K51" s="174"/>
      <c r="L51" s="174"/>
      <c r="M51" s="174"/>
    </row>
    <row r="52" spans="1:13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74"/>
      <c r="K52" s="174"/>
      <c r="L52" s="174"/>
      <c r="M52" s="174"/>
    </row>
    <row r="53" spans="1:13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74"/>
      <c r="K53" s="174"/>
      <c r="L53" s="174"/>
      <c r="M53" s="174"/>
    </row>
    <row r="54" spans="1:13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74"/>
      <c r="K54" s="174"/>
      <c r="L54" s="174"/>
      <c r="M54" s="174"/>
    </row>
    <row r="55" spans="1:13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74"/>
      <c r="K55" s="174"/>
      <c r="L55" s="174"/>
      <c r="M55" s="174"/>
    </row>
    <row r="56" spans="1:13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74"/>
      <c r="K56" s="174"/>
      <c r="L56" s="174"/>
      <c r="M56" s="174"/>
    </row>
    <row r="58" spans="1:13" x14ac:dyDescent="0.2">
      <c r="B58" s="312" t="s">
        <v>112</v>
      </c>
      <c r="C58" s="312"/>
      <c r="D58" s="312"/>
      <c r="E58" s="312"/>
      <c r="F58" s="312"/>
      <c r="G58" s="312"/>
      <c r="H58" s="312"/>
      <c r="I58" s="312"/>
      <c r="J58" s="312"/>
      <c r="K58" s="312"/>
      <c r="L58" s="323"/>
    </row>
    <row r="59" spans="1:13" x14ac:dyDescent="0.2">
      <c r="B59" s="338"/>
      <c r="C59" s="338"/>
      <c r="D59" s="338"/>
      <c r="E59" s="338"/>
      <c r="F59" s="338"/>
      <c r="G59" s="338"/>
      <c r="H59" s="338"/>
      <c r="I59" s="338"/>
      <c r="J59" s="338"/>
      <c r="K59" s="338"/>
      <c r="L59" s="325"/>
    </row>
    <row r="60" spans="1:13" ht="20.100000000000001" customHeight="1" x14ac:dyDescent="0.2">
      <c r="B60" s="336" t="s">
        <v>45</v>
      </c>
      <c r="C60" s="337"/>
      <c r="D60" s="337"/>
      <c r="E60" s="168"/>
      <c r="F60" s="169" t="s">
        <v>16</v>
      </c>
      <c r="G60" s="170"/>
      <c r="H60" s="337" t="s">
        <v>46</v>
      </c>
      <c r="I60" s="337"/>
      <c r="J60" s="337"/>
      <c r="K60" s="168"/>
      <c r="L60" s="171" t="s">
        <v>48</v>
      </c>
    </row>
    <row r="62" spans="1:13" ht="24.95" customHeight="1" x14ac:dyDescent="0.2">
      <c r="A62" s="234" t="s">
        <v>113</v>
      </c>
      <c r="B62" s="234"/>
      <c r="C62" s="234"/>
      <c r="D62" s="234"/>
      <c r="E62" s="234"/>
      <c r="F62" s="234"/>
      <c r="G62" s="234"/>
      <c r="H62" s="234"/>
      <c r="I62" s="234"/>
      <c r="J62" s="234"/>
      <c r="K62" s="234"/>
      <c r="L62" s="234"/>
      <c r="M62" s="234"/>
    </row>
    <row r="64" spans="1:13" x14ac:dyDescent="0.2">
      <c r="B64" s="312" t="s">
        <v>114</v>
      </c>
      <c r="C64" s="312"/>
      <c r="D64" s="312"/>
      <c r="E64" s="312"/>
      <c r="F64" s="312"/>
      <c r="G64" s="312"/>
      <c r="H64" s="312"/>
      <c r="I64" s="312"/>
      <c r="J64" s="312"/>
      <c r="K64" s="312"/>
      <c r="L64" s="323"/>
    </row>
    <row r="65" spans="1:13" x14ac:dyDescent="0.2">
      <c r="B65" s="338"/>
      <c r="C65" s="338"/>
      <c r="D65" s="338"/>
      <c r="E65" s="338"/>
      <c r="F65" s="338"/>
      <c r="G65" s="338"/>
      <c r="H65" s="338"/>
      <c r="I65" s="338"/>
      <c r="J65" s="338"/>
      <c r="K65" s="338"/>
      <c r="L65" s="325"/>
    </row>
    <row r="66" spans="1:13" ht="20.100000000000001" customHeight="1" x14ac:dyDescent="0.2">
      <c r="B66" s="336" t="s">
        <v>45</v>
      </c>
      <c r="C66" s="337"/>
      <c r="D66" s="337"/>
      <c r="E66" s="175" t="b">
        <f>IF('Información general'!$H$60='Equipamiento y listas'!$A$14,Corrección!$G$429,IF('Información general'!$H$60='Equipamiento y listas'!$A$15,Corrección!$G$474,IF('Información general'!$H$60='Equipamiento y listas'!$A$16,Corrección!$G$519,IF('Información general'!$H$60='Equipamiento y listas'!$A$17,Corrección!$G$564))))</f>
        <v>0</v>
      </c>
      <c r="F66" s="169" t="s">
        <v>16</v>
      </c>
      <c r="G66" s="170"/>
      <c r="H66" s="337" t="s">
        <v>46</v>
      </c>
      <c r="I66" s="337"/>
      <c r="J66" s="337"/>
      <c r="K66" s="175" t="b">
        <f>IF('Información general'!$H$64='Equipamiento y listas'!$A$18,Corrección!$N$429,IF('Información general'!$H$64='Equipamiento y listas'!$A$19,Corrección!$N$474,IF('Información general'!$H$64='Equipamiento y listas'!$A$20,Corrección!$N$519,IF('Información general'!$H$64='Equipamiento y listas'!$A$21,Corrección!$N$564))))</f>
        <v>0</v>
      </c>
      <c r="L66" s="171" t="s">
        <v>48</v>
      </c>
    </row>
    <row r="68" spans="1:13" x14ac:dyDescent="0.2">
      <c r="A68" s="274" t="s">
        <v>275</v>
      </c>
      <c r="B68" s="275" t="s">
        <v>253</v>
      </c>
      <c r="C68" s="275"/>
      <c r="D68" s="275"/>
      <c r="E68" s="275"/>
      <c r="F68" s="275" t="s">
        <v>254</v>
      </c>
      <c r="G68" s="275"/>
      <c r="H68" s="275"/>
      <c r="I68" s="275"/>
      <c r="J68" s="275" t="s">
        <v>255</v>
      </c>
      <c r="K68" s="275"/>
      <c r="L68" s="275"/>
      <c r="M68" s="276"/>
    </row>
    <row r="69" spans="1:13" x14ac:dyDescent="0.2">
      <c r="A69" s="277"/>
      <c r="B69" s="254"/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5"/>
    </row>
    <row r="70" spans="1:13" x14ac:dyDescent="0.2">
      <c r="A70" s="277"/>
      <c r="B70" s="254" t="s">
        <v>256</v>
      </c>
      <c r="C70" s="254"/>
      <c r="D70" s="254" t="s">
        <v>257</v>
      </c>
      <c r="E70" s="254"/>
      <c r="F70" s="254" t="s">
        <v>256</v>
      </c>
      <c r="G70" s="254"/>
      <c r="H70" s="254" t="s">
        <v>257</v>
      </c>
      <c r="I70" s="254"/>
      <c r="J70" s="254" t="s">
        <v>256</v>
      </c>
      <c r="K70" s="254"/>
      <c r="L70" s="254" t="s">
        <v>257</v>
      </c>
      <c r="M70" s="255"/>
    </row>
    <row r="71" spans="1:13" x14ac:dyDescent="0.2">
      <c r="A71" s="277"/>
      <c r="B71" s="254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5"/>
    </row>
    <row r="72" spans="1:13" ht="14.45" customHeight="1" x14ac:dyDescent="0.2">
      <c r="A72" s="277"/>
      <c r="B72" s="254" t="s">
        <v>281</v>
      </c>
      <c r="C72" s="254" t="s">
        <v>276</v>
      </c>
      <c r="D72" s="254" t="s">
        <v>281</v>
      </c>
      <c r="E72" s="254" t="s">
        <v>276</v>
      </c>
      <c r="F72" s="254" t="s">
        <v>281</v>
      </c>
      <c r="G72" s="254" t="s">
        <v>276</v>
      </c>
      <c r="H72" s="254" t="s">
        <v>281</v>
      </c>
      <c r="I72" s="254" t="s">
        <v>276</v>
      </c>
      <c r="J72" s="254" t="s">
        <v>281</v>
      </c>
      <c r="K72" s="254" t="s">
        <v>276</v>
      </c>
      <c r="L72" s="254" t="s">
        <v>281</v>
      </c>
      <c r="M72" s="255" t="s">
        <v>276</v>
      </c>
    </row>
    <row r="73" spans="1:13" x14ac:dyDescent="0.2">
      <c r="A73" s="277"/>
      <c r="B73" s="254"/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255"/>
    </row>
    <row r="74" spans="1:13" x14ac:dyDescent="0.2">
      <c r="A74" s="377"/>
      <c r="B74" s="355"/>
      <c r="C74" s="355"/>
      <c r="D74" s="355"/>
      <c r="E74" s="355"/>
      <c r="F74" s="355"/>
      <c r="G74" s="355"/>
      <c r="H74" s="355"/>
      <c r="I74" s="355"/>
      <c r="J74" s="355"/>
      <c r="K74" s="355"/>
      <c r="L74" s="355"/>
      <c r="M74" s="356"/>
    </row>
    <row r="75" spans="1:13" x14ac:dyDescent="0.2">
      <c r="A75" s="150" t="b">
        <f>IF(NOT(ISBLANK(A47)),A47*LOOKUP('Información general'!$N$37,'Equipamiento y listas'!$J$36:$J$48,'Equipamiento y listas'!$L$36:$L$48)*LOOKUP("psi",'Equipamiento y listas'!$K$47:$K$61,'Equipamiento y listas'!$L$47:$L$61))</f>
        <v>0</v>
      </c>
      <c r="B75" s="150" t="b">
        <f>IF('Información general'!$H$68='Equipamiento y listas'!$A$22,Corrección!C45+Corrección!D45,IF('Información general'!$H$68='Equipamiento y listas'!$A$23,Corrección!C141+Corrección!D141,IF('Información general'!$H$68='Equipamiento y listas'!$A$24,Corrección!C237+Corrección!D237)))</f>
        <v>0</v>
      </c>
      <c r="C75" s="150" t="b">
        <f>IF(NOT(ISBLANK(C47)),C47*LOOKUP('Información general'!$N$37,'Equipamiento y listas'!$J$36:$J$48,'Equipamiento y listas'!$L$36:$L$48)*LOOKUP("psi",'Equipamiento y listas'!$K$47:$K$61,'Equipamiento y listas'!$L$47:$L$61))</f>
        <v>0</v>
      </c>
      <c r="D75" s="150" t="b">
        <f>IF('Información general'!$H$68='Equipamiento y listas'!$A$22,Corrección!C55+Corrección!D55,IF('Información general'!$H$68='Equipamiento y listas'!$A$23,Corrección!C151+Corrección!D151,IF('Información general'!$H$68='Equipamiento y listas'!$A$24,Corrección!C247+Corrección!D247)))</f>
        <v>0</v>
      </c>
      <c r="E75" s="150" t="b">
        <f>IF(NOT(ISBLANK(E47)),E47*LOOKUP('Información general'!$N$37,'Equipamiento y listas'!$J$36:$J$48,'Equipamiento y listas'!$L$36:$L$48)*LOOKUP("psi",'Equipamiento y listas'!$K$47:$K$61,'Equipamiento y listas'!$L$47:$L$61))</f>
        <v>0</v>
      </c>
      <c r="F75" s="150" t="b">
        <f>IF('Información general'!$H$68='Equipamiento y listas'!$A$22,Corrección!C65+Corrección!D65,IF('Información general'!$H$68='Equipamiento y listas'!$A$23,Corrección!C161+Corrección!D161,IF('Información general'!$H$68='Equipamiento y listas'!$A$24,Corrección!C257+Corrección!D257)))</f>
        <v>0</v>
      </c>
      <c r="G75" s="150" t="b">
        <f>IF(NOT(ISBLANK(G47)),G47*LOOKUP('Información general'!$N$37,'Equipamiento y listas'!$J$36:$J$48,'Equipamiento y listas'!$L$36:$L$48)*LOOKUP("psi",'Equipamiento y listas'!$K$47:$K$61,'Equipamiento y listas'!$L$47:$L$61))</f>
        <v>0</v>
      </c>
      <c r="H75" s="150" t="b">
        <f>IF('Información general'!$H$68='Equipamiento y listas'!$A$22,Corrección!C75+Corrección!D75,IF('Información general'!$H$68='Equipamiento y listas'!$A$23,Corrección!C171+Corrección!D171,IF('Información general'!$H$68='Equipamiento y listas'!$A$24,Corrección!C267+Corrección!D267)))</f>
        <v>0</v>
      </c>
      <c r="I75" s="150" t="b">
        <f>IF(NOT(ISBLANK(I47)),I47*LOOKUP('Información general'!$N$37,'Equipamiento y listas'!$J$36:$J$48,'Equipamiento y listas'!$L$36:$L$48)*LOOKUP("psi",'Equipamiento y listas'!$K$47:$K$61,'Equipamiento y listas'!$L$47:$L$61))</f>
        <v>0</v>
      </c>
      <c r="J75" s="149" t="str">
        <f>IF('Información general'!$L$42&gt;=0.25%,"",IF('Información general'!$H$68='Equipamiento y listas'!$A$22,Corrección!C85+Corrección!D85,IF('Información general'!$H$68='Equipamiento y listas'!$A$23,Corrección!C181+Corrección!D181,IF('Información general'!$H$68='Equipamiento y listas'!$A$24,Corrección!C277+Corrección!D277))))</f>
        <v/>
      </c>
      <c r="K75" s="149" t="str">
        <f>IF('Información general'!$L$42&gt;=0.25%,"",IF(NOT(ISBLANK(K47)),K47*LOOKUP('Información general'!$N$37,'Equipamiento y listas'!$J$36:$J$48,'Equipamiento y listas'!$L$36:$L$48)*LOOKUP("psi",'Equipamiento y listas'!$K$47:$K$61,'Equipamiento y listas'!$L$47:$L$61)))</f>
        <v/>
      </c>
      <c r="L75" s="149" t="str">
        <f>IF('Información general'!$L$42&gt;=0.25%,"",IF('Información general'!$H$68='Equipamiento y listas'!$A$22,Corrección!C95+Corrección!D95,IF('Información general'!$H$68='Equipamiento y listas'!$A$23,Corrección!C191+Corrección!D191,IF('Información general'!$H$68='Equipamiento y listas'!$A$24,Corrección!C287+Corrección!D287))))</f>
        <v/>
      </c>
      <c r="M75" s="149" t="str">
        <f>IF('Información general'!$L$42&gt;=0.25%,"",IF(NOT(ISBLANK(M47)),M47*LOOKUP('Información general'!$N$37,'Equipamiento y listas'!$J$36:$J$48,'Equipamiento y listas'!$L$36:$L$48)*LOOKUP("psi",'Equipamiento y listas'!$K$47:$K$61,'Equipamiento y listas'!$L$47:$L$61)))</f>
        <v/>
      </c>
    </row>
    <row r="76" spans="1:13" x14ac:dyDescent="0.2">
      <c r="A76" s="150" t="b">
        <f>IF(NOT(ISBLANK(A48)),A48*LOOKUP('Información general'!$N$37,'Equipamiento y listas'!$J$36:$J$48,'Equipamiento y listas'!$L$36:$L$48)*LOOKUP("psi",'Equipamiento y listas'!$K$47:$K$61,'Equipamiento y listas'!$L$47:$L$61))</f>
        <v>0</v>
      </c>
      <c r="B76" s="150" t="b">
        <f>IF('Información general'!$H$68='Equipamiento y listas'!$A$22,Corrección!C46+Corrección!D46,IF('Información general'!$H$68='Equipamiento y listas'!$A$23,Corrección!C142+Corrección!D142,IF('Información general'!$H$68='Equipamiento y listas'!$A$24,Corrección!C238+Corrección!D238)))</f>
        <v>0</v>
      </c>
      <c r="C76" s="150" t="b">
        <f>IF(NOT(ISBLANK(C48)),C48*LOOKUP('Información general'!$N$37,'Equipamiento y listas'!$J$36:$J$48,'Equipamiento y listas'!$L$36:$L$48)*LOOKUP("psi",'Equipamiento y listas'!$K$47:$K$61,'Equipamiento y listas'!$L$47:$L$61))</f>
        <v>0</v>
      </c>
      <c r="D76" s="150" t="b">
        <f>IF('Información general'!$H$68='Equipamiento y listas'!$A$22,Corrección!C56+Corrección!D56,IF('Información general'!$H$68='Equipamiento y listas'!$A$23,Corrección!C152+Corrección!D152,IF('Información general'!$H$68='Equipamiento y listas'!$A$24,Corrección!C248+Corrección!D248)))</f>
        <v>0</v>
      </c>
      <c r="E76" s="150" t="b">
        <f>IF(NOT(ISBLANK(E48)),E48*LOOKUP('Información general'!$N$37,'Equipamiento y listas'!$J$36:$J$48,'Equipamiento y listas'!$L$36:$L$48)*LOOKUP("psi",'Equipamiento y listas'!$K$47:$K$61,'Equipamiento y listas'!$L$47:$L$61))</f>
        <v>0</v>
      </c>
      <c r="F76" s="150" t="b">
        <f>IF('Información general'!$H$68='Equipamiento y listas'!$A$22,Corrección!C66+Corrección!D66,IF('Información general'!$H$68='Equipamiento y listas'!$A$23,Corrección!C162+Corrección!D162,IF('Información general'!$H$68='Equipamiento y listas'!$A$24,Corrección!C258+Corrección!D258)))</f>
        <v>0</v>
      </c>
      <c r="G76" s="150" t="b">
        <f>IF(NOT(ISBLANK(G48)),G48*LOOKUP('Información general'!$N$37,'Equipamiento y listas'!$J$36:$J$48,'Equipamiento y listas'!$L$36:$L$48)*LOOKUP("psi",'Equipamiento y listas'!$K$47:$K$61,'Equipamiento y listas'!$L$47:$L$61))</f>
        <v>0</v>
      </c>
      <c r="H76" s="150" t="b">
        <f>IF('Información general'!$H$68='Equipamiento y listas'!$A$22,Corrección!C76+Corrección!D76,IF('Información general'!$H$68='Equipamiento y listas'!$A$23,Corrección!C172+Corrección!D172,IF('Información general'!$H$68='Equipamiento y listas'!$A$24,Corrección!C268+Corrección!D268)))</f>
        <v>0</v>
      </c>
      <c r="I76" s="150" t="b">
        <f>IF(NOT(ISBLANK(I48)),I48*LOOKUP('Información general'!$N$37,'Equipamiento y listas'!$J$36:$J$48,'Equipamiento y listas'!$L$36:$L$48)*LOOKUP("psi",'Equipamiento y listas'!$K$47:$K$61,'Equipamiento y listas'!$L$47:$L$61))</f>
        <v>0</v>
      </c>
      <c r="J76" s="149" t="str">
        <f>IF('Información general'!$L$42&gt;=0.25%,"",IF('Información general'!$H$68='Equipamiento y listas'!$A$22,Corrección!C86+Corrección!D86,IF('Información general'!$H$68='Equipamiento y listas'!$A$23,Corrección!C182+Corrección!D182,IF('Información general'!$H$68='Equipamiento y listas'!$A$24,Corrección!C278+Corrección!D278))))</f>
        <v/>
      </c>
      <c r="K76" s="149" t="str">
        <f>IF('Información general'!$L$42&gt;=0.25%,"",IF(NOT(ISBLANK(K48)),K48*LOOKUP('Información general'!$N$37,'Equipamiento y listas'!$J$36:$J$48,'Equipamiento y listas'!$L$36:$L$48)*LOOKUP("psi",'Equipamiento y listas'!$K$47:$K$61,'Equipamiento y listas'!$L$47:$L$61)))</f>
        <v/>
      </c>
      <c r="L76" s="149" t="str">
        <f>IF('Información general'!$L$42&gt;=0.25%,"",IF('Información general'!$H$68='Equipamiento y listas'!$A$22,Corrección!C96+Corrección!D96,IF('Información general'!$H$68='Equipamiento y listas'!$A$23,Corrección!C192+Corrección!D192,IF('Información general'!$H$68='Equipamiento y listas'!$A$24,Corrección!C288+Corrección!D288))))</f>
        <v/>
      </c>
      <c r="M76" s="149" t="str">
        <f>IF('Información general'!$L$42&gt;=0.25%,"",IF(NOT(ISBLANK(M48)),M48*LOOKUP('Información general'!$N$37,'Equipamiento y listas'!$J$36:$J$48,'Equipamiento y listas'!$L$36:$L$48)*LOOKUP("psi",'Equipamiento y listas'!$K$47:$K$61,'Equipamiento y listas'!$L$47:$L$61)))</f>
        <v/>
      </c>
    </row>
    <row r="77" spans="1:13" x14ac:dyDescent="0.2">
      <c r="A77" s="150" t="b">
        <f>IF(NOT(ISBLANK(A49)),A49*LOOKUP('Información general'!$N$37,'Equipamiento y listas'!$J$36:$J$48,'Equipamiento y listas'!$L$36:$L$48)*LOOKUP("psi",'Equipamiento y listas'!$K$47:$K$61,'Equipamiento y listas'!$L$47:$L$61))</f>
        <v>0</v>
      </c>
      <c r="B77" s="150" t="b">
        <f>IF('Información general'!$H$68='Equipamiento y listas'!$A$22,Corrección!C47+Corrección!D47,IF('Información general'!$H$68='Equipamiento y listas'!$A$23,Corrección!C143+Corrección!D143,IF('Información general'!$H$68='Equipamiento y listas'!$A$24,Corrección!C239+Corrección!D239)))</f>
        <v>0</v>
      </c>
      <c r="C77" s="150" t="b">
        <f>IF(NOT(ISBLANK(C49)),C49*LOOKUP('Información general'!$N$37,'Equipamiento y listas'!$J$36:$J$48,'Equipamiento y listas'!$L$36:$L$48)*LOOKUP("psi",'Equipamiento y listas'!$K$47:$K$61,'Equipamiento y listas'!$L$47:$L$61))</f>
        <v>0</v>
      </c>
      <c r="D77" s="150" t="b">
        <f>IF('Información general'!$H$68='Equipamiento y listas'!$A$22,Corrección!C57+Corrección!D57,IF('Información general'!$H$68='Equipamiento y listas'!$A$23,Corrección!C153+Corrección!D153,IF('Información general'!$H$68='Equipamiento y listas'!$A$24,Corrección!C249+Corrección!D249)))</f>
        <v>0</v>
      </c>
      <c r="E77" s="150" t="b">
        <f>IF(NOT(ISBLANK(E49)),E49*LOOKUP('Información general'!$N$37,'Equipamiento y listas'!$J$36:$J$48,'Equipamiento y listas'!$L$36:$L$48)*LOOKUP("psi",'Equipamiento y listas'!$K$47:$K$61,'Equipamiento y listas'!$L$47:$L$61))</f>
        <v>0</v>
      </c>
      <c r="F77" s="150" t="b">
        <f>IF('Información general'!$H$68='Equipamiento y listas'!$A$22,Corrección!C67+Corrección!D67,IF('Información general'!$H$68='Equipamiento y listas'!$A$23,Corrección!C163+Corrección!D163,IF('Información general'!$H$68='Equipamiento y listas'!$A$24,Corrección!C259+Corrección!D259)))</f>
        <v>0</v>
      </c>
      <c r="G77" s="150" t="b">
        <f>IF(NOT(ISBLANK(G49)),G49*LOOKUP('Información general'!$N$37,'Equipamiento y listas'!$J$36:$J$48,'Equipamiento y listas'!$L$36:$L$48)*LOOKUP("psi",'Equipamiento y listas'!$K$47:$K$61,'Equipamiento y listas'!$L$47:$L$61))</f>
        <v>0</v>
      </c>
      <c r="H77" s="150" t="b">
        <f>IF('Información general'!$H$68='Equipamiento y listas'!$A$22,Corrección!C77+Corrección!D77,IF('Información general'!$H$68='Equipamiento y listas'!$A$23,Corrección!C173+Corrección!D173,IF('Información general'!$H$68='Equipamiento y listas'!$A$24,Corrección!C269+Corrección!D269)))</f>
        <v>0</v>
      </c>
      <c r="I77" s="150" t="b">
        <f>IF(NOT(ISBLANK(I49)),I49*LOOKUP('Información general'!$N$37,'Equipamiento y listas'!$J$36:$J$48,'Equipamiento y listas'!$L$36:$L$48)*LOOKUP("psi",'Equipamiento y listas'!$K$47:$K$61,'Equipamiento y listas'!$L$47:$L$61))</f>
        <v>0</v>
      </c>
      <c r="J77" s="149" t="str">
        <f>IF('Información general'!$L$42&gt;=0.25%,"",IF('Información general'!$H$68='Equipamiento y listas'!$A$22,Corrección!C87+Corrección!D87,IF('Información general'!$H$68='Equipamiento y listas'!$A$23,Corrección!C183+Corrección!D183,IF('Información general'!$H$68='Equipamiento y listas'!$A$24,Corrección!C279+Corrección!D279))))</f>
        <v/>
      </c>
      <c r="K77" s="149" t="str">
        <f>IF('Información general'!$L$42&gt;=0.25%,"",IF(NOT(ISBLANK(K49)),K49*LOOKUP('Información general'!$N$37,'Equipamiento y listas'!$J$36:$J$48,'Equipamiento y listas'!$L$36:$L$48)*LOOKUP("psi",'Equipamiento y listas'!$K$47:$K$61,'Equipamiento y listas'!$L$47:$L$61)))</f>
        <v/>
      </c>
      <c r="L77" s="149" t="str">
        <f>IF('Información general'!$L$42&gt;=0.25%,"",IF('Información general'!$H$68='Equipamiento y listas'!$A$22,Corrección!C97+Corrección!D97,IF('Información general'!$H$68='Equipamiento y listas'!$A$23,Corrección!C193+Corrección!D193,IF('Información general'!$H$68='Equipamiento y listas'!$A$24,Corrección!C289+Corrección!D289))))</f>
        <v/>
      </c>
      <c r="M77" s="149" t="str">
        <f>IF('Información general'!$L$42&gt;=0.25%,"",IF(NOT(ISBLANK(M49)),M49*LOOKUP('Información general'!$N$37,'Equipamiento y listas'!$J$36:$J$48,'Equipamiento y listas'!$L$36:$L$48)*LOOKUP("psi",'Equipamiento y listas'!$K$47:$K$61,'Equipamiento y listas'!$L$47:$L$61)))</f>
        <v/>
      </c>
    </row>
    <row r="78" spans="1:13" x14ac:dyDescent="0.2">
      <c r="A78" s="150" t="b">
        <f>IF(NOT(ISBLANK(A50)),A50*LOOKUP('Información general'!$N$37,'Equipamiento y listas'!$J$36:$J$48,'Equipamiento y listas'!$L$36:$L$48)*LOOKUP("psi",'Equipamiento y listas'!$K$47:$K$61,'Equipamiento y listas'!$L$47:$L$61))</f>
        <v>0</v>
      </c>
      <c r="B78" s="150" t="b">
        <f>IF('Información general'!$H$68='Equipamiento y listas'!$A$22,Corrección!C48+Corrección!D48,IF('Información general'!$H$68='Equipamiento y listas'!$A$23,Corrección!C144+Corrección!D144,IF('Información general'!$H$68='Equipamiento y listas'!$A$24,Corrección!C240+Corrección!D240)))</f>
        <v>0</v>
      </c>
      <c r="C78" s="150" t="b">
        <f>IF(NOT(ISBLANK(C50)),C50*LOOKUP('Información general'!$N$37,'Equipamiento y listas'!$J$36:$J$48,'Equipamiento y listas'!$L$36:$L$48)*LOOKUP("psi",'Equipamiento y listas'!$K$47:$K$61,'Equipamiento y listas'!$L$47:$L$61))</f>
        <v>0</v>
      </c>
      <c r="D78" s="150" t="b">
        <f>IF('Información general'!$H$68='Equipamiento y listas'!$A$22,Corrección!C58+Corrección!D58,IF('Información general'!$H$68='Equipamiento y listas'!$A$23,Corrección!C154+Corrección!D154,IF('Información general'!$H$68='Equipamiento y listas'!$A$24,Corrección!C250+Corrección!D250)))</f>
        <v>0</v>
      </c>
      <c r="E78" s="150" t="b">
        <f>IF(NOT(ISBLANK(E50)),E50*LOOKUP('Información general'!$N$37,'Equipamiento y listas'!$J$36:$J$48,'Equipamiento y listas'!$L$36:$L$48)*LOOKUP("psi",'Equipamiento y listas'!$K$47:$K$61,'Equipamiento y listas'!$L$47:$L$61))</f>
        <v>0</v>
      </c>
      <c r="F78" s="150" t="b">
        <f>IF('Información general'!$H$68='Equipamiento y listas'!$A$22,Corrección!C68+Corrección!D68,IF('Información general'!$H$68='Equipamiento y listas'!$A$23,Corrección!C164+Corrección!D164,IF('Información general'!$H$68='Equipamiento y listas'!$A$24,Corrección!C260+Corrección!D260)))</f>
        <v>0</v>
      </c>
      <c r="G78" s="150" t="b">
        <f>IF(NOT(ISBLANK(G50)),G50*LOOKUP('Información general'!$N$37,'Equipamiento y listas'!$J$36:$J$48,'Equipamiento y listas'!$L$36:$L$48)*LOOKUP("psi",'Equipamiento y listas'!$K$47:$K$61,'Equipamiento y listas'!$L$47:$L$61))</f>
        <v>0</v>
      </c>
      <c r="H78" s="150" t="b">
        <f>IF('Información general'!$H$68='Equipamiento y listas'!$A$22,Corrección!C78+Corrección!D78,IF('Información general'!$H$68='Equipamiento y listas'!$A$23,Corrección!C174+Corrección!D174,IF('Información general'!$H$68='Equipamiento y listas'!$A$24,Corrección!C270+Corrección!D270)))</f>
        <v>0</v>
      </c>
      <c r="I78" s="150" t="b">
        <f>IF(NOT(ISBLANK(I50)),I50*LOOKUP('Información general'!$N$37,'Equipamiento y listas'!$J$36:$J$48,'Equipamiento y listas'!$L$36:$L$48)*LOOKUP("psi",'Equipamiento y listas'!$K$47:$K$61,'Equipamiento y listas'!$L$47:$L$61))</f>
        <v>0</v>
      </c>
      <c r="J78" s="149" t="str">
        <f>IF('Información general'!$L$42&gt;=0.25%,"",IF('Información general'!$H$68='Equipamiento y listas'!$A$22,Corrección!C88+Corrección!D88,IF('Información general'!$H$68='Equipamiento y listas'!$A$23,Corrección!C184+Corrección!D184,IF('Información general'!$H$68='Equipamiento y listas'!$A$24,Corrección!C280+Corrección!D280))))</f>
        <v/>
      </c>
      <c r="K78" s="149" t="str">
        <f>IF('Información general'!$L$42&gt;=0.25%,"",IF(NOT(ISBLANK(K50)),K50*LOOKUP('Información general'!$N$37,'Equipamiento y listas'!$J$36:$J$48,'Equipamiento y listas'!$L$36:$L$48)*LOOKUP("psi",'Equipamiento y listas'!$K$47:$K$61,'Equipamiento y listas'!$L$47:$L$61)))</f>
        <v/>
      </c>
      <c r="L78" s="149" t="str">
        <f>IF('Información general'!$L$42&gt;=0.25%,"",IF('Información general'!$H$68='Equipamiento y listas'!$A$22,Corrección!C98+Corrección!D98,IF('Información general'!$H$68='Equipamiento y listas'!$A$23,Corrección!C194+Corrección!D194,IF('Información general'!$H$68='Equipamiento y listas'!$A$24,Corrección!C290+Corrección!D290))))</f>
        <v/>
      </c>
      <c r="M78" s="149" t="str">
        <f>IF('Información general'!$L$42&gt;=0.25%,"",IF(NOT(ISBLANK(M50)),M50*LOOKUP('Información general'!$N$37,'Equipamiento y listas'!$J$36:$J$48,'Equipamiento y listas'!$L$36:$L$48)*LOOKUP("psi",'Equipamiento y listas'!$K$47:$K$61,'Equipamiento y listas'!$L$47:$L$61)))</f>
        <v/>
      </c>
    </row>
    <row r="79" spans="1:13" x14ac:dyDescent="0.2">
      <c r="A79" s="150" t="b">
        <f>IF(NOT(ISBLANK(A51)),A51*LOOKUP('Información general'!$N$37,'Equipamiento y listas'!$J$36:$J$48,'Equipamiento y listas'!$L$36:$L$48)*LOOKUP("psi",'Equipamiento y listas'!$K$47:$K$61,'Equipamiento y listas'!$L$47:$L$61))</f>
        <v>0</v>
      </c>
      <c r="B79" s="150" t="b">
        <f>IF('Información general'!$H$68='Equipamiento y listas'!$A$22,Corrección!C49+Corrección!D49,IF('Información general'!$H$68='Equipamiento y listas'!$A$23,Corrección!C145+Corrección!D145,IF('Información general'!$H$68='Equipamiento y listas'!$A$24,Corrección!C241+Corrección!D241)))</f>
        <v>0</v>
      </c>
      <c r="C79" s="150" t="b">
        <f>IF(NOT(ISBLANK(C51)),C51*LOOKUP('Información general'!$N$37,'Equipamiento y listas'!$J$36:$J$48,'Equipamiento y listas'!$L$36:$L$48)*LOOKUP("psi",'Equipamiento y listas'!$K$47:$K$61,'Equipamiento y listas'!$L$47:$L$61))</f>
        <v>0</v>
      </c>
      <c r="D79" s="150" t="b">
        <f>IF('Información general'!$H$68='Equipamiento y listas'!$A$22,Corrección!C59+Corrección!D59,IF('Información general'!$H$68='Equipamiento y listas'!$A$23,Corrección!C155+Corrección!D155,IF('Información general'!$H$68='Equipamiento y listas'!$A$24,Corrección!C251+Corrección!D251)))</f>
        <v>0</v>
      </c>
      <c r="E79" s="150" t="b">
        <f>IF(NOT(ISBLANK(E51)),E51*LOOKUP('Información general'!$N$37,'Equipamiento y listas'!$J$36:$J$48,'Equipamiento y listas'!$L$36:$L$48)*LOOKUP("psi",'Equipamiento y listas'!$K$47:$K$61,'Equipamiento y listas'!$L$47:$L$61))</f>
        <v>0</v>
      </c>
      <c r="F79" s="150" t="b">
        <f>IF('Información general'!$H$68='Equipamiento y listas'!$A$22,Corrección!C69+Corrección!D69,IF('Información general'!$H$68='Equipamiento y listas'!$A$23,Corrección!C165+Corrección!D165,IF('Información general'!$H$68='Equipamiento y listas'!$A$24,Corrección!C261+Corrección!D261)))</f>
        <v>0</v>
      </c>
      <c r="G79" s="150" t="b">
        <f>IF(NOT(ISBLANK(G51)),G51*LOOKUP('Información general'!$N$37,'Equipamiento y listas'!$J$36:$J$48,'Equipamiento y listas'!$L$36:$L$48)*LOOKUP("psi",'Equipamiento y listas'!$K$47:$K$61,'Equipamiento y listas'!$L$47:$L$61))</f>
        <v>0</v>
      </c>
      <c r="H79" s="150" t="b">
        <f>IF('Información general'!$H$68='Equipamiento y listas'!$A$22,Corrección!C79+Corrección!D79,IF('Información general'!$H$68='Equipamiento y listas'!$A$23,Corrección!C175+Corrección!D175,IF('Información general'!$H$68='Equipamiento y listas'!$A$24,Corrección!C271+Corrección!D271)))</f>
        <v>0</v>
      </c>
      <c r="I79" s="150" t="b">
        <f>IF(NOT(ISBLANK(I51)),I51*LOOKUP('Información general'!$N$37,'Equipamiento y listas'!$J$36:$J$48,'Equipamiento y listas'!$L$36:$L$48)*LOOKUP("psi",'Equipamiento y listas'!$K$47:$K$61,'Equipamiento y listas'!$L$47:$L$61))</f>
        <v>0</v>
      </c>
      <c r="J79" s="149" t="str">
        <f>IF('Información general'!$L$42&gt;=0.25%,"",IF('Información general'!$H$68='Equipamiento y listas'!$A$22,Corrección!C89+Corrección!D89,IF('Información general'!$H$68='Equipamiento y listas'!$A$23,Corrección!C185+Corrección!D185,IF('Información general'!$H$68='Equipamiento y listas'!$A$24,Corrección!C281+Corrección!D281))))</f>
        <v/>
      </c>
      <c r="K79" s="149" t="str">
        <f>IF('Información general'!$L$42&gt;=0.25%,"",IF(NOT(ISBLANK(K51)),K51*LOOKUP('Información general'!$N$37,'Equipamiento y listas'!$J$36:$J$48,'Equipamiento y listas'!$L$36:$L$48)*LOOKUP("psi",'Equipamiento y listas'!$K$47:$K$61,'Equipamiento y listas'!$L$47:$L$61)))</f>
        <v/>
      </c>
      <c r="L79" s="149" t="str">
        <f>IF('Información general'!$L$42&gt;=0.25%,"",IF('Información general'!$H$68='Equipamiento y listas'!$A$22,Corrección!C99+Corrección!D99,IF('Información general'!$H$68='Equipamiento y listas'!$A$23,Corrección!C195+Corrección!D195,IF('Información general'!$H$68='Equipamiento y listas'!$A$24,Corrección!C291+Corrección!D291))))</f>
        <v/>
      </c>
      <c r="M79" s="149" t="str">
        <f>IF('Información general'!$L$42&gt;=0.25%,"",IF(NOT(ISBLANK(M51)),M51*LOOKUP('Información general'!$N$37,'Equipamiento y listas'!$J$36:$J$48,'Equipamiento y listas'!$L$36:$L$48)*LOOKUP("psi",'Equipamiento y listas'!$K$47:$K$61,'Equipamiento y listas'!$L$47:$L$61)))</f>
        <v/>
      </c>
    </row>
    <row r="80" spans="1:13" x14ac:dyDescent="0.2">
      <c r="A80" s="150" t="b">
        <f>IF(NOT(ISBLANK(A52)),A52*LOOKUP('Información general'!$N$37,'Equipamiento y listas'!$J$36:$J$48,'Equipamiento y listas'!$L$36:$L$48)*LOOKUP("psi",'Equipamiento y listas'!$K$47:$K$61,'Equipamiento y listas'!$L$47:$L$61))</f>
        <v>0</v>
      </c>
      <c r="B80" s="150" t="b">
        <f>IF('Información general'!$H$68='Equipamiento y listas'!$A$22,Corrección!C50+Corrección!D50,IF('Información general'!$H$68='Equipamiento y listas'!$A$23,Corrección!C146+Corrección!D146,IF('Información general'!$H$68='Equipamiento y listas'!$A$24,Corrección!C242+Corrección!D242)))</f>
        <v>0</v>
      </c>
      <c r="C80" s="150" t="b">
        <f>IF(NOT(ISBLANK(C52)),C52*LOOKUP('Información general'!$N$37,'Equipamiento y listas'!$J$36:$J$48,'Equipamiento y listas'!$L$36:$L$48)*LOOKUP("psi",'Equipamiento y listas'!$K$47:$K$61,'Equipamiento y listas'!$L$47:$L$61))</f>
        <v>0</v>
      </c>
      <c r="D80" s="150" t="b">
        <f>IF('Información general'!$H$68='Equipamiento y listas'!$A$22,Corrección!C60+Corrección!D60,IF('Información general'!$H$68='Equipamiento y listas'!$A$23,Corrección!C156+Corrección!D156,IF('Información general'!$H$68='Equipamiento y listas'!$A$24,Corrección!C252+Corrección!D252)))</f>
        <v>0</v>
      </c>
      <c r="E80" s="150" t="b">
        <f>IF(NOT(ISBLANK(E52)),E52*LOOKUP('Información general'!$N$37,'Equipamiento y listas'!$J$36:$J$48,'Equipamiento y listas'!$L$36:$L$48)*LOOKUP("psi",'Equipamiento y listas'!$K$47:$K$61,'Equipamiento y listas'!$L$47:$L$61))</f>
        <v>0</v>
      </c>
      <c r="F80" s="150" t="b">
        <f>IF('Información general'!$H$68='Equipamiento y listas'!$A$22,Corrección!C70+Corrección!D70,IF('Información general'!$H$68='Equipamiento y listas'!$A$23,Corrección!C166+Corrección!D166,IF('Información general'!$H$68='Equipamiento y listas'!$A$24,Corrección!C262+Corrección!D262)))</f>
        <v>0</v>
      </c>
      <c r="G80" s="150" t="b">
        <f>IF(NOT(ISBLANK(G52)),G52*LOOKUP('Información general'!$N$37,'Equipamiento y listas'!$J$36:$J$48,'Equipamiento y listas'!$L$36:$L$48)*LOOKUP("psi",'Equipamiento y listas'!$K$47:$K$61,'Equipamiento y listas'!$L$47:$L$61))</f>
        <v>0</v>
      </c>
      <c r="H80" s="150" t="b">
        <f>IF('Información general'!$H$68='Equipamiento y listas'!$A$22,Corrección!C80+Corrección!D80,IF('Información general'!$H$68='Equipamiento y listas'!$A$23,Corrección!C176+Corrección!D176,IF('Información general'!$H$68='Equipamiento y listas'!$A$24,Corrección!C272+Corrección!D272)))</f>
        <v>0</v>
      </c>
      <c r="I80" s="150" t="b">
        <f>IF(NOT(ISBLANK(I52)),I52*LOOKUP('Información general'!$N$37,'Equipamiento y listas'!$J$36:$J$48,'Equipamiento y listas'!$L$36:$L$48)*LOOKUP("psi",'Equipamiento y listas'!$K$47:$K$61,'Equipamiento y listas'!$L$47:$L$61))</f>
        <v>0</v>
      </c>
      <c r="J80" s="149" t="str">
        <f>IF('Información general'!$L$42&gt;=0.25%,"",IF('Información general'!$H$68='Equipamiento y listas'!$A$22,Corrección!C90+Corrección!D90,IF('Información general'!$H$68='Equipamiento y listas'!$A$23,Corrección!C186+Corrección!D186,IF('Información general'!$H$68='Equipamiento y listas'!$A$24,Corrección!C282+Corrección!D282))))</f>
        <v/>
      </c>
      <c r="K80" s="149" t="str">
        <f>IF('Información general'!$L$42&gt;=0.25%,"",IF(NOT(ISBLANK(K52)),K52*LOOKUP('Información general'!$N$37,'Equipamiento y listas'!$J$36:$J$48,'Equipamiento y listas'!$L$36:$L$48)*LOOKUP("psi",'Equipamiento y listas'!$K$47:$K$61,'Equipamiento y listas'!$L$47:$L$61)))</f>
        <v/>
      </c>
      <c r="L80" s="149" t="str">
        <f>IF('Información general'!$L$42&gt;=0.25%,"",IF('Información general'!$H$68='Equipamiento y listas'!$A$22,Corrección!C100+Corrección!D100,IF('Información general'!$H$68='Equipamiento y listas'!$A$23,Corrección!C196+Corrección!D196,IF('Información general'!$H$68='Equipamiento y listas'!$A$24,Corrección!C292+Corrección!D292))))</f>
        <v/>
      </c>
      <c r="M80" s="149" t="str">
        <f>IF('Información general'!$L$42&gt;=0.25%,"",IF(NOT(ISBLANK(M52)),M52*LOOKUP('Información general'!$N$37,'Equipamiento y listas'!$J$36:$J$48,'Equipamiento y listas'!$L$36:$L$48)*LOOKUP("psi",'Equipamiento y listas'!$K$47:$K$61,'Equipamiento y listas'!$L$47:$L$61)))</f>
        <v/>
      </c>
    </row>
    <row r="81" spans="1:13" x14ac:dyDescent="0.2">
      <c r="A81" s="150" t="b">
        <f>IF(NOT(ISBLANK(A53)),A53*LOOKUP('Información general'!$N$37,'Equipamiento y listas'!$J$36:$J$48,'Equipamiento y listas'!$L$36:$L$48)*LOOKUP("psi",'Equipamiento y listas'!$K$47:$K$61,'Equipamiento y listas'!$L$47:$L$61))</f>
        <v>0</v>
      </c>
      <c r="B81" s="150" t="b">
        <f>IF('Información general'!$H$68='Equipamiento y listas'!$A$22,Corrección!C51+Corrección!D51,IF('Información general'!$H$68='Equipamiento y listas'!$A$23,Corrección!C147+Corrección!D147,IF('Información general'!$H$68='Equipamiento y listas'!$A$24,Corrección!C243+Corrección!D243)))</f>
        <v>0</v>
      </c>
      <c r="C81" s="150" t="b">
        <f>IF(NOT(ISBLANK(C53)),C53*LOOKUP('Información general'!$N$37,'Equipamiento y listas'!$J$36:$J$48,'Equipamiento y listas'!$L$36:$L$48)*LOOKUP("psi",'Equipamiento y listas'!$K$47:$K$61,'Equipamiento y listas'!$L$47:$L$61))</f>
        <v>0</v>
      </c>
      <c r="D81" s="150" t="b">
        <f>IF('Información general'!$H$68='Equipamiento y listas'!$A$22,Corrección!C61+Corrección!D61,IF('Información general'!$H$68='Equipamiento y listas'!$A$23,Corrección!C157+Corrección!D157,IF('Información general'!$H$68='Equipamiento y listas'!$A$24,Corrección!C253+Corrección!D253)))</f>
        <v>0</v>
      </c>
      <c r="E81" s="150" t="b">
        <f>IF(NOT(ISBLANK(E53)),E53*LOOKUP('Información general'!$N$37,'Equipamiento y listas'!$J$36:$J$48,'Equipamiento y listas'!$L$36:$L$48)*LOOKUP("psi",'Equipamiento y listas'!$K$47:$K$61,'Equipamiento y listas'!$L$47:$L$61))</f>
        <v>0</v>
      </c>
      <c r="F81" s="150" t="b">
        <f>IF('Información general'!$H$68='Equipamiento y listas'!$A$22,Corrección!C71+Corrección!D71,IF('Información general'!$H$68='Equipamiento y listas'!$A$23,Corrección!C167+Corrección!D167,IF('Información general'!$H$68='Equipamiento y listas'!$A$24,Corrección!C263+Corrección!D263)))</f>
        <v>0</v>
      </c>
      <c r="G81" s="150" t="b">
        <f>IF(NOT(ISBLANK(G53)),G53*LOOKUP('Información general'!$N$37,'Equipamiento y listas'!$J$36:$J$48,'Equipamiento y listas'!$L$36:$L$48)*LOOKUP("psi",'Equipamiento y listas'!$K$47:$K$61,'Equipamiento y listas'!$L$47:$L$61))</f>
        <v>0</v>
      </c>
      <c r="H81" s="150" t="b">
        <f>IF('Información general'!$H$68='Equipamiento y listas'!$A$22,Corrección!C81+Corrección!D81,IF('Información general'!$H$68='Equipamiento y listas'!$A$23,Corrección!C177+Corrección!D177,IF('Información general'!$H$68='Equipamiento y listas'!$A$24,Corrección!C273+Corrección!D273)))</f>
        <v>0</v>
      </c>
      <c r="I81" s="150" t="b">
        <f>IF(NOT(ISBLANK(I53)),I53*LOOKUP('Información general'!$N$37,'Equipamiento y listas'!$J$36:$J$48,'Equipamiento y listas'!$L$36:$L$48)*LOOKUP("psi",'Equipamiento y listas'!$K$47:$K$61,'Equipamiento y listas'!$L$47:$L$61))</f>
        <v>0</v>
      </c>
      <c r="J81" s="149" t="str">
        <f>IF('Información general'!$L$42&gt;=0.25%,"",IF('Información general'!$H$68='Equipamiento y listas'!$A$22,Corrección!C91+Corrección!D91,IF('Información general'!$H$68='Equipamiento y listas'!$A$23,Corrección!C187+Corrección!D187,IF('Información general'!$H$68='Equipamiento y listas'!$A$24,Corrección!C283+Corrección!D283))))</f>
        <v/>
      </c>
      <c r="K81" s="149" t="str">
        <f>IF('Información general'!$L$42&gt;=0.25%,"",IF(NOT(ISBLANK(K53)),K53*LOOKUP('Información general'!$N$37,'Equipamiento y listas'!$J$36:$J$48,'Equipamiento y listas'!$L$36:$L$48)*LOOKUP("psi",'Equipamiento y listas'!$K$47:$K$61,'Equipamiento y listas'!$L$47:$L$61)))</f>
        <v/>
      </c>
      <c r="L81" s="149" t="str">
        <f>IF('Información general'!$L$42&gt;=0.25%,"",IF('Información general'!$H$68='Equipamiento y listas'!$A$22,Corrección!C101+Corrección!D101,IF('Información general'!$H$68='Equipamiento y listas'!$A$23,Corrección!C197+Corrección!D197,IF('Información general'!$H$68='Equipamiento y listas'!$A$24,Corrección!C293+Corrección!D293))))</f>
        <v/>
      </c>
      <c r="M81" s="149" t="str">
        <f>IF('Información general'!$L$42&gt;=0.25%,"",IF(NOT(ISBLANK(M53)),M53*LOOKUP('Información general'!$N$37,'Equipamiento y listas'!$J$36:$J$48,'Equipamiento y listas'!$L$36:$L$48)*LOOKUP("psi",'Equipamiento y listas'!$K$47:$K$61,'Equipamiento y listas'!$L$47:$L$61)))</f>
        <v/>
      </c>
    </row>
    <row r="82" spans="1:13" x14ac:dyDescent="0.2">
      <c r="A82" s="150" t="b">
        <f>IF(NOT(ISBLANK(A54)),A54*LOOKUP('Información general'!$N$37,'Equipamiento y listas'!$J$36:$J$48,'Equipamiento y listas'!$L$36:$L$48)*LOOKUP("psi",'Equipamiento y listas'!$K$47:$K$61,'Equipamiento y listas'!$L$47:$L$61))</f>
        <v>0</v>
      </c>
      <c r="B82" s="150" t="b">
        <f>IF('Información general'!$H$68='Equipamiento y listas'!$A$22,Corrección!C52+Corrección!D52,IF('Información general'!$H$68='Equipamiento y listas'!$A$23,Corrección!C148+Corrección!D148,IF('Información general'!$H$68='Equipamiento y listas'!$A$24,Corrección!C244+Corrección!D244)))</f>
        <v>0</v>
      </c>
      <c r="C82" s="150" t="b">
        <f>IF(NOT(ISBLANK(C54)),C54*LOOKUP('Información general'!$N$37,'Equipamiento y listas'!$J$36:$J$48,'Equipamiento y listas'!$L$36:$L$48)*LOOKUP("psi",'Equipamiento y listas'!$K$47:$K$61,'Equipamiento y listas'!$L$47:$L$61))</f>
        <v>0</v>
      </c>
      <c r="D82" s="150" t="b">
        <f>IF('Información general'!$H$68='Equipamiento y listas'!$A$22,Corrección!C62+Corrección!D62,IF('Información general'!$H$68='Equipamiento y listas'!$A$23,Corrección!C158+Corrección!D158,IF('Información general'!$H$68='Equipamiento y listas'!$A$24,Corrección!C254+Corrección!D254)))</f>
        <v>0</v>
      </c>
      <c r="E82" s="150" t="b">
        <f>IF(NOT(ISBLANK(E54)),E54*LOOKUP('Información general'!$N$37,'Equipamiento y listas'!$J$36:$J$48,'Equipamiento y listas'!$L$36:$L$48)*LOOKUP("psi",'Equipamiento y listas'!$K$47:$K$61,'Equipamiento y listas'!$L$47:$L$61))</f>
        <v>0</v>
      </c>
      <c r="F82" s="150" t="b">
        <f>IF('Información general'!$H$68='Equipamiento y listas'!$A$22,Corrección!C72+Corrección!D72,IF('Información general'!$H$68='Equipamiento y listas'!$A$23,Corrección!C168+Corrección!D168,IF('Información general'!$H$68='Equipamiento y listas'!$A$24,Corrección!C264+Corrección!D264)))</f>
        <v>0</v>
      </c>
      <c r="G82" s="150" t="b">
        <f>IF(NOT(ISBLANK(G54)),G54*LOOKUP('Información general'!$N$37,'Equipamiento y listas'!$J$36:$J$48,'Equipamiento y listas'!$L$36:$L$48)*LOOKUP("psi",'Equipamiento y listas'!$K$47:$K$61,'Equipamiento y listas'!$L$47:$L$61))</f>
        <v>0</v>
      </c>
      <c r="H82" s="150" t="b">
        <f>IF('Información general'!$H$68='Equipamiento y listas'!$A$22,Corrección!C82+Corrección!D82,IF('Información general'!$H$68='Equipamiento y listas'!$A$23,Corrección!C178+Corrección!D178,IF('Información general'!$H$68='Equipamiento y listas'!$A$24,Corrección!C274+Corrección!D274)))</f>
        <v>0</v>
      </c>
      <c r="I82" s="150" t="b">
        <f>IF(NOT(ISBLANK(I54)),I54*LOOKUP('Información general'!$N$37,'Equipamiento y listas'!$J$36:$J$48,'Equipamiento y listas'!$L$36:$L$48)*LOOKUP("psi",'Equipamiento y listas'!$K$47:$K$61,'Equipamiento y listas'!$L$47:$L$61))</f>
        <v>0</v>
      </c>
      <c r="J82" s="149" t="str">
        <f>IF('Información general'!$L$42&gt;=0.25%,"",IF('Información general'!$H$68='Equipamiento y listas'!$A$22,Corrección!C92+Corrección!D92,IF('Información general'!$H$68='Equipamiento y listas'!$A$23,Corrección!C188+Corrección!D188,IF('Información general'!$H$68='Equipamiento y listas'!$A$24,Corrección!C284+Corrección!D284))))</f>
        <v/>
      </c>
      <c r="K82" s="149" t="str">
        <f>IF('Información general'!$L$42&gt;=0.25%,"",IF(NOT(ISBLANK(K54)),K54*LOOKUP('Información general'!$N$37,'Equipamiento y listas'!$J$36:$J$48,'Equipamiento y listas'!$L$36:$L$48)*LOOKUP("psi",'Equipamiento y listas'!$K$47:$K$61,'Equipamiento y listas'!$L$47:$L$61)))</f>
        <v/>
      </c>
      <c r="L82" s="149" t="str">
        <f>IF('Información general'!$L$42&gt;=0.25%,"",IF('Información general'!$H$68='Equipamiento y listas'!$A$22,Corrección!C102+Corrección!D102,IF('Información general'!$H$68='Equipamiento y listas'!$A$23,Corrección!C198+Corrección!D198,IF('Información general'!$H$68='Equipamiento y listas'!$A$24,Corrección!C294+Corrección!D294))))</f>
        <v/>
      </c>
      <c r="M82" s="149" t="str">
        <f>IF('Información general'!$L$42&gt;=0.25%,"",IF(NOT(ISBLANK(M54)),M54*LOOKUP('Información general'!$N$37,'Equipamiento y listas'!$J$36:$J$48,'Equipamiento y listas'!$L$36:$L$48)*LOOKUP("psi",'Equipamiento y listas'!$K$47:$K$61,'Equipamiento y listas'!$L$47:$L$61)))</f>
        <v/>
      </c>
    </row>
    <row r="83" spans="1:13" x14ac:dyDescent="0.2">
      <c r="A83" s="150" t="b">
        <f>IF(NOT(ISBLANK(A55)),A55*LOOKUP('Información general'!$N$37,'Equipamiento y listas'!$J$36:$J$48,'Equipamiento y listas'!$L$36:$L$48)*LOOKUP("psi",'Equipamiento y listas'!$K$47:$K$61,'Equipamiento y listas'!$L$47:$L$61))</f>
        <v>0</v>
      </c>
      <c r="B83" s="150" t="b">
        <f>IF('Información general'!$H$68='Equipamiento y listas'!$A$22,Corrección!C53+Corrección!D53,IF('Información general'!$H$68='Equipamiento y listas'!$A$23,Corrección!C149+Corrección!D149,IF('Información general'!$H$68='Equipamiento y listas'!$A$24,Corrección!C245+Corrección!D245)))</f>
        <v>0</v>
      </c>
      <c r="C83" s="150" t="b">
        <f>IF(NOT(ISBLANK(C55)),C55*LOOKUP('Información general'!$N$37,'Equipamiento y listas'!$J$36:$J$48,'Equipamiento y listas'!$L$36:$L$48)*LOOKUP("psi",'Equipamiento y listas'!$K$47:$K$61,'Equipamiento y listas'!$L$47:$L$61))</f>
        <v>0</v>
      </c>
      <c r="D83" s="150" t="b">
        <f>IF('Información general'!$H$68='Equipamiento y listas'!$A$22,Corrección!C63+Corrección!D63,IF('Información general'!$H$68='Equipamiento y listas'!$A$23,Corrección!C159+Corrección!D159,IF('Información general'!$H$68='Equipamiento y listas'!$A$24,Corrección!C255+Corrección!D255)))</f>
        <v>0</v>
      </c>
      <c r="E83" s="150" t="b">
        <f>IF(NOT(ISBLANK(E55)),E55*LOOKUP('Información general'!$N$37,'Equipamiento y listas'!$J$36:$J$48,'Equipamiento y listas'!$L$36:$L$48)*LOOKUP("psi",'Equipamiento y listas'!$K$47:$K$61,'Equipamiento y listas'!$L$47:$L$61))</f>
        <v>0</v>
      </c>
      <c r="F83" s="150" t="b">
        <f>IF('Información general'!$H$68='Equipamiento y listas'!$A$22,Corrección!C73+Corrección!D73,IF('Información general'!$H$68='Equipamiento y listas'!$A$23,Corrección!C169+Corrección!D169,IF('Información general'!$H$68='Equipamiento y listas'!$A$24,Corrección!C265+Corrección!D265)))</f>
        <v>0</v>
      </c>
      <c r="G83" s="150" t="b">
        <f>IF(NOT(ISBLANK(G55)),G55*LOOKUP('Información general'!$N$37,'Equipamiento y listas'!$J$36:$J$48,'Equipamiento y listas'!$L$36:$L$48)*LOOKUP("psi",'Equipamiento y listas'!$K$47:$K$61,'Equipamiento y listas'!$L$47:$L$61))</f>
        <v>0</v>
      </c>
      <c r="H83" s="150" t="b">
        <f>IF('Información general'!$H$68='Equipamiento y listas'!$A$22,Corrección!C83+Corrección!D83,IF('Información general'!$H$68='Equipamiento y listas'!$A$23,Corrección!C179+Corrección!D179,IF('Información general'!$H$68='Equipamiento y listas'!$A$24,Corrección!C275+Corrección!D275)))</f>
        <v>0</v>
      </c>
      <c r="I83" s="150" t="b">
        <f>IF(NOT(ISBLANK(I55)),I55*LOOKUP('Información general'!$N$37,'Equipamiento y listas'!$J$36:$J$48,'Equipamiento y listas'!$L$36:$L$48)*LOOKUP("psi",'Equipamiento y listas'!$K$47:$K$61,'Equipamiento y listas'!$L$47:$L$61))</f>
        <v>0</v>
      </c>
      <c r="J83" s="149" t="str">
        <f>IF('Información general'!$L$42&gt;=0.25%,"",IF('Información general'!$H$68='Equipamiento y listas'!$A$22,Corrección!C93+Corrección!D93,IF('Información general'!$H$68='Equipamiento y listas'!$A$23,Corrección!C189+Corrección!D189,IF('Información general'!$H$68='Equipamiento y listas'!$A$24,Corrección!C285+Corrección!D285))))</f>
        <v/>
      </c>
      <c r="K83" s="149" t="str">
        <f>IF('Información general'!$L$42&gt;=0.25%,"",IF(NOT(ISBLANK(K55)),K55*LOOKUP('Información general'!$N$37,'Equipamiento y listas'!$J$36:$J$48,'Equipamiento y listas'!$L$36:$L$48)*LOOKUP("psi",'Equipamiento y listas'!$K$47:$K$61,'Equipamiento y listas'!$L$47:$L$61)))</f>
        <v/>
      </c>
      <c r="L83" s="149" t="str">
        <f>IF('Información general'!$L$42&gt;=0.25%,"",IF('Información general'!$H$68='Equipamiento y listas'!$A$22,Corrección!C103+Corrección!D103,IF('Información general'!$H$68='Equipamiento y listas'!$A$23,Corrección!C199+Corrección!D199,IF('Información general'!$H$68='Equipamiento y listas'!$A$24,Corrección!C295+Corrección!D295))))</f>
        <v/>
      </c>
      <c r="M83" s="149" t="str">
        <f>IF('Información general'!$L$42&gt;=0.25%,"",IF(NOT(ISBLANK(M55)),M55*LOOKUP('Información general'!$N$37,'Equipamiento y listas'!$J$36:$J$48,'Equipamiento y listas'!$L$36:$L$48)*LOOKUP("psi",'Equipamiento y listas'!$K$47:$K$61,'Equipamiento y listas'!$L$47:$L$61)))</f>
        <v/>
      </c>
    </row>
    <row r="84" spans="1:13" x14ac:dyDescent="0.2">
      <c r="A84" s="150" t="b">
        <f>IF(NOT(ISBLANK(A56)),A56*LOOKUP('Información general'!$N$37,'Equipamiento y listas'!$J$36:$J$48,'Equipamiento y listas'!$L$36:$L$48)*LOOKUP("psi",'Equipamiento y listas'!$K$47:$K$61,'Equipamiento y listas'!$L$47:$L$61))</f>
        <v>0</v>
      </c>
      <c r="B84" s="150" t="b">
        <f>IF('Información general'!$H$68='Equipamiento y listas'!$A$22,Corrección!C54+Corrección!D54,IF('Información general'!$H$68='Equipamiento y listas'!$A$23,Corrección!C150+Corrección!D150,IF('Información general'!$H$68='Equipamiento y listas'!$A$24,Corrección!C246+Corrección!D246)))</f>
        <v>0</v>
      </c>
      <c r="C84" s="150" t="b">
        <f>IF(NOT(ISBLANK(C56)),C56*LOOKUP('Información general'!$N$37,'Equipamiento y listas'!$J$36:$J$48,'Equipamiento y listas'!$L$36:$L$48)*LOOKUP("psi",'Equipamiento y listas'!$K$47:$K$61,'Equipamiento y listas'!$L$47:$L$61))</f>
        <v>0</v>
      </c>
      <c r="D84" s="150" t="b">
        <f>IF('Información general'!$H$68='Equipamiento y listas'!$A$22,Corrección!C64+Corrección!D64,IF('Información general'!$H$68='Equipamiento y listas'!$A$23,Corrección!C160+Corrección!D160,IF('Información general'!$H$68='Equipamiento y listas'!$A$24,Corrección!C256+Corrección!D256)))</f>
        <v>0</v>
      </c>
      <c r="E84" s="150" t="b">
        <f>IF(NOT(ISBLANK(E56)),E56*LOOKUP('Información general'!$N$37,'Equipamiento y listas'!$J$36:$J$48,'Equipamiento y listas'!$L$36:$L$48)*LOOKUP("psi",'Equipamiento y listas'!$K$47:$K$61,'Equipamiento y listas'!$L$47:$L$61))</f>
        <v>0</v>
      </c>
      <c r="F84" s="150" t="b">
        <f>IF('Información general'!$H$68='Equipamiento y listas'!$A$22,Corrección!C74+Corrección!D74,IF('Información general'!$H$68='Equipamiento y listas'!$A$23,Corrección!C170+Corrección!D170,IF('Información general'!$H$68='Equipamiento y listas'!$A$24,Corrección!C266+Corrección!D266)))</f>
        <v>0</v>
      </c>
      <c r="G84" s="150" t="b">
        <f>IF(NOT(ISBLANK(G56)),G56*LOOKUP('Información general'!$N$37,'Equipamiento y listas'!$J$36:$J$48,'Equipamiento y listas'!$L$36:$L$48)*LOOKUP("psi",'Equipamiento y listas'!$K$47:$K$61,'Equipamiento y listas'!$L$47:$L$61))</f>
        <v>0</v>
      </c>
      <c r="H84" s="150" t="b">
        <f>IF('Información general'!$H$68='Equipamiento y listas'!$A$22,Corrección!C84+Corrección!D84,IF('Información general'!$H$68='Equipamiento y listas'!$A$23,Corrección!C180+Corrección!D180,IF('Información general'!$H$68='Equipamiento y listas'!$A$24,Corrección!C276+Corrección!D276)))</f>
        <v>0</v>
      </c>
      <c r="I84" s="150" t="b">
        <f>IF(NOT(ISBLANK(I56)),I56*LOOKUP('Información general'!$N$37,'Equipamiento y listas'!$J$36:$J$48,'Equipamiento y listas'!$L$36:$L$48)*LOOKUP("psi",'Equipamiento y listas'!$K$47:$K$61,'Equipamiento y listas'!$L$47:$L$61))</f>
        <v>0</v>
      </c>
      <c r="J84" s="149" t="str">
        <f>IF('Información general'!$L$42&gt;=0.25%,"",IF('Información general'!$H$68='Equipamiento y listas'!$A$22,Corrección!C94+Corrección!D94,IF('Información general'!$H$68='Equipamiento y listas'!$A$23,Corrección!C190+Corrección!D190,IF('Información general'!$H$68='Equipamiento y listas'!$A$24,Corrección!C286+Corrección!D286))))</f>
        <v/>
      </c>
      <c r="K84" s="149" t="str">
        <f>IF('Información general'!$L$42&gt;=0.25%,"",IF(NOT(ISBLANK(K56)),K56*LOOKUP('Información general'!$N$37,'Equipamiento y listas'!$J$36:$J$48,'Equipamiento y listas'!$L$36:$L$48)*LOOKUP("psi",'Equipamiento y listas'!$K$47:$K$61,'Equipamiento y listas'!$L$47:$L$61)))</f>
        <v/>
      </c>
      <c r="L84" s="149" t="str">
        <f>IF('Información general'!$L$42&gt;=0.25%,"",IF('Información general'!$H$68='Equipamiento y listas'!$A$22,Corrección!C104+Corrección!D104,IF('Información general'!$H$68='Equipamiento y listas'!$A$23,Corrección!C200+Corrección!D200,IF('Información general'!$H$68='Equipamiento y listas'!$A$24,Corrección!C296+Corrección!D296))))</f>
        <v/>
      </c>
      <c r="M84" s="149" t="str">
        <f>IF('Información general'!$L$42&gt;=0.25%,"",IF(NOT(ISBLANK(M56)),M56*LOOKUP('Información general'!$N$37,'Equipamiento y listas'!$J$36:$J$48,'Equipamiento y listas'!$L$36:$L$48)*LOOKUP("psi",'Equipamiento y listas'!$K$47:$K$61,'Equipamiento y listas'!$L$47:$L$61)))</f>
        <v/>
      </c>
    </row>
    <row r="86" spans="1:13" ht="14.45" customHeight="1" x14ac:dyDescent="0.2">
      <c r="B86" s="274" t="s">
        <v>280</v>
      </c>
      <c r="C86" s="275"/>
      <c r="D86" s="275"/>
      <c r="E86" s="275"/>
      <c r="F86" s="275"/>
      <c r="G86" s="275" t="s">
        <v>279</v>
      </c>
      <c r="H86" s="275"/>
      <c r="I86" s="275"/>
      <c r="J86" s="275"/>
      <c r="K86" s="275"/>
      <c r="L86" s="276"/>
    </row>
    <row r="87" spans="1:13" x14ac:dyDescent="0.2">
      <c r="B87" s="277"/>
      <c r="C87" s="254"/>
      <c r="D87" s="254"/>
      <c r="E87" s="254"/>
      <c r="F87" s="254"/>
      <c r="G87" s="254"/>
      <c r="H87" s="254"/>
      <c r="I87" s="254"/>
      <c r="J87" s="254"/>
      <c r="K87" s="254"/>
      <c r="L87" s="255"/>
    </row>
    <row r="88" spans="1:13" ht="14.45" customHeight="1" x14ac:dyDescent="0.2">
      <c r="B88" s="277" t="str">
        <f>_xlfn.CONCAT("Indicación bajo calibración, [",'Información general'!N37,"]")</f>
        <v>Indicación bajo calibración, [psi]</v>
      </c>
      <c r="C88" s="254" t="s">
        <v>282</v>
      </c>
      <c r="D88" s="254" t="s">
        <v>283</v>
      </c>
      <c r="E88" s="254" t="s">
        <v>199</v>
      </c>
      <c r="F88" s="254" t="s">
        <v>325</v>
      </c>
      <c r="G88" s="254" t="s">
        <v>253</v>
      </c>
      <c r="H88" s="254"/>
      <c r="I88" s="254" t="s">
        <v>254</v>
      </c>
      <c r="J88" s="254"/>
      <c r="K88" s="254" t="s">
        <v>255</v>
      </c>
      <c r="L88" s="255"/>
    </row>
    <row r="89" spans="1:13" x14ac:dyDescent="0.2">
      <c r="B89" s="277"/>
      <c r="C89" s="254"/>
      <c r="D89" s="254"/>
      <c r="E89" s="254"/>
      <c r="F89" s="254"/>
      <c r="G89" s="254"/>
      <c r="H89" s="254"/>
      <c r="I89" s="254"/>
      <c r="J89" s="254"/>
      <c r="K89" s="254"/>
      <c r="L89" s="255"/>
    </row>
    <row r="90" spans="1:13" x14ac:dyDescent="0.2">
      <c r="B90" s="277"/>
      <c r="C90" s="254"/>
      <c r="D90" s="254"/>
      <c r="E90" s="254"/>
      <c r="F90" s="254"/>
      <c r="G90" s="254" t="s">
        <v>278</v>
      </c>
      <c r="H90" s="254" t="s">
        <v>277</v>
      </c>
      <c r="I90" s="254" t="s">
        <v>278</v>
      </c>
      <c r="J90" s="254" t="s">
        <v>277</v>
      </c>
      <c r="K90" s="254" t="s">
        <v>278</v>
      </c>
      <c r="L90" s="255" t="s">
        <v>277</v>
      </c>
    </row>
    <row r="91" spans="1:13" x14ac:dyDescent="0.2">
      <c r="B91" s="277"/>
      <c r="C91" s="254"/>
      <c r="D91" s="254"/>
      <c r="E91" s="254"/>
      <c r="F91" s="254"/>
      <c r="G91" s="254"/>
      <c r="H91" s="254"/>
      <c r="I91" s="254"/>
      <c r="J91" s="254"/>
      <c r="K91" s="254"/>
      <c r="L91" s="255"/>
    </row>
    <row r="92" spans="1:13" x14ac:dyDescent="0.2">
      <c r="B92" s="144">
        <f t="shared" ref="B92:B101" si="0">A47</f>
        <v>0</v>
      </c>
      <c r="C92" s="144" t="e">
        <f>IF('Información general'!$L$42&gt;=0.25%,AVERAGE(B75,D75,F75,H75),AVERAGE(B75,D75,F75,H75,J75,L75))</f>
        <v>#DIV/0!</v>
      </c>
      <c r="D92" s="144" t="e">
        <f t="shared" ref="D92:D101" si="1">AVERAGE(C75,E75,G75,I75,K75,M75)</f>
        <v>#DIV/0!</v>
      </c>
      <c r="E92" s="144" t="e">
        <f>C92-D92+9.8*(('Información general'!$H$53-'Información general'!$H$55)/1000)*(IF('Información general'!$D$53='Equipamiento y listas'!$B$41,G223,IF('Información general'!$D$53='Equipamiento y listas'!$B$42,G232,""))-$B$215)*LOOKUP("psi",'Equipamiento y listas'!$K$47:$K$61,'Equipamiento y listas'!$L$47:$L$61)</f>
        <v>#DIV/0!</v>
      </c>
      <c r="F92" s="144" t="e">
        <f>Incertidumbre!T84</f>
        <v>#N/A</v>
      </c>
      <c r="G92" s="144">
        <f>B75-C75+IF('Información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2" s="144">
        <f>D75-E75+IF('Información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2" s="144">
        <f>F75-G75+IF('Información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2" s="144">
        <f>H75-I75+IF('Información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2" s="144" t="str">
        <f>IF('Información general'!$L$42&gt;=0.25%,"",J75-K75+IF('Información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2" s="144" t="str">
        <f>IF('Información general'!$L$42&gt;=0.25%,"",L75-M75+IF('Información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3" spans="1:13" x14ac:dyDescent="0.2">
      <c r="B93" s="149">
        <f t="shared" si="0"/>
        <v>0</v>
      </c>
      <c r="C93" s="144" t="e">
        <f>IF('Información general'!$L$42&gt;=0.25%,AVERAGE(B76,D76,F76,H76),AVERAGE(B76,D76,F76,H76,J76,L76))</f>
        <v>#DIV/0!</v>
      </c>
      <c r="D93" s="149" t="e">
        <f t="shared" si="1"/>
        <v>#DIV/0!</v>
      </c>
      <c r="E93" s="144" t="e">
        <f>C93-D93+9.8*(('Información general'!$H$53-'Información general'!$H$55)/1000)*(IF('Información general'!$D$53='Equipamiento y listas'!$B$41,G224,IF('Información general'!$D$53='Equipamiento y listas'!$B$42,G233,""))-$B$215)*LOOKUP("psi",'Equipamiento y listas'!$K$47:$K$61,'Equipamiento y listas'!$L$47:$L$61)</f>
        <v>#DIV/0!</v>
      </c>
      <c r="F93" s="149" t="e">
        <f>Incertidumbre!AB84</f>
        <v>#N/A</v>
      </c>
      <c r="G93" s="149">
        <f>B76-C76+IF('Información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3" s="149">
        <f>D76-E76+IF('Información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3" s="149">
        <f>F76-G76+IF('Información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3" s="149">
        <f>H76-I76+IF('Información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3" s="144" t="str">
        <f>IF('Información general'!$L$42&gt;=0.25%,"",J76-K76+IF('Información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3" s="144" t="str">
        <f>IF('Información general'!$L$42&gt;=0.25%,"",L76-M76+IF('Información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4" spans="1:13" x14ac:dyDescent="0.2">
      <c r="B94" s="149">
        <f t="shared" si="0"/>
        <v>0</v>
      </c>
      <c r="C94" s="144" t="e">
        <f>IF('Información general'!$L$42&gt;=0.25%,AVERAGE(B77,D77,F77,H77),AVERAGE(B77,D77,F77,H77,J77,L77))</f>
        <v>#DIV/0!</v>
      </c>
      <c r="D94" s="149" t="e">
        <f t="shared" si="1"/>
        <v>#DIV/0!</v>
      </c>
      <c r="E94" s="144" t="e">
        <f>C94-D94+9.8*(('Información general'!$H$53-'Información general'!$H$55)/1000)*(IF('Información general'!$D$53='Equipamiento y listas'!$B$41,G225,IF('Información general'!$D$53='Equipamiento y listas'!$B$42,G234,""))-$B$215)*LOOKUP("psi",'Equipamiento y listas'!$K$47:$K$61,'Equipamiento y listas'!$L$47:$L$61)</f>
        <v>#DIV/0!</v>
      </c>
      <c r="F94" s="149" t="e">
        <f>Incertidumbre!AJ84</f>
        <v>#N/A</v>
      </c>
      <c r="G94" s="149">
        <f>B77-C77+IF('Información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4" s="149">
        <f>D77-E77+IF('Información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4" s="149">
        <f>F77-G77+IF('Información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4" s="149">
        <f>H77-I77+IF('Información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4" s="144" t="str">
        <f>IF('Información general'!$L$42&gt;=0.25%,"",J77-K77+IF('Información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4" s="144" t="str">
        <f>IF('Información general'!$L$42&gt;=0.25%,"",L77-M77+IF('Información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5" spans="1:13" x14ac:dyDescent="0.2">
      <c r="B95" s="149">
        <f t="shared" si="0"/>
        <v>0</v>
      </c>
      <c r="C95" s="144" t="e">
        <f>IF('Información general'!$L$42&gt;=0.25%,AVERAGE(B78,D78,F78,H78),AVERAGE(B78,D78,F78,H78,J78,L78))</f>
        <v>#DIV/0!</v>
      </c>
      <c r="D95" s="149" t="e">
        <f t="shared" si="1"/>
        <v>#DIV/0!</v>
      </c>
      <c r="E95" s="144" t="e">
        <f>C95-D95+9.8*(('Información general'!$H$53-'Información general'!$H$55)/1000)*(IF('Información general'!$D$53='Equipamiento y listas'!$B$41,G226,IF('Información general'!$D$53='Equipamiento y listas'!$B$42,G235,""))-$B$215)*LOOKUP("psi",'Equipamiento y listas'!$K$47:$K$61,'Equipamiento y listas'!$L$47:$L$61)</f>
        <v>#DIV/0!</v>
      </c>
      <c r="F95" s="149" t="e">
        <f>Incertidumbre!AR84</f>
        <v>#N/A</v>
      </c>
      <c r="G95" s="149">
        <f>B78-C78+IF('Información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5" s="149">
        <f>D78-E78+IF('Información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5" s="149">
        <f>F78-G78+IF('Información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5" s="149">
        <f>H78-I78+IF('Información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5" s="144" t="str">
        <f>IF('Información general'!$L$42&gt;=0.25%,"",J78-K78+IF('Información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5" s="144" t="str">
        <f>IF('Información general'!$L$42&gt;=0.25%,"",L78-M78+IF('Información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6" spans="1:13" x14ac:dyDescent="0.2">
      <c r="B96" s="149">
        <f t="shared" si="0"/>
        <v>0</v>
      </c>
      <c r="C96" s="144" t="e">
        <f>IF('Información general'!$L$42&gt;=0.25%,AVERAGE(B79,D79,F79,H79),AVERAGE(B79,D79,F79,H79,J79,L79))</f>
        <v>#DIV/0!</v>
      </c>
      <c r="D96" s="149" t="e">
        <f t="shared" si="1"/>
        <v>#DIV/0!</v>
      </c>
      <c r="E96" s="144" t="e">
        <f>C96-D96+9.8*(('Información general'!$H$53-'Información general'!$H$55)/1000)*(IF('Información general'!$D$53='Equipamiento y listas'!$B$41,G227,IF('Información general'!$D$53='Equipamiento y listas'!$B$42,G236,""))-$B$215)*LOOKUP("psi",'Equipamiento y listas'!$K$47:$K$61,'Equipamiento y listas'!$L$47:$L$61)</f>
        <v>#DIV/0!</v>
      </c>
      <c r="F96" s="149" t="e">
        <f>Incertidumbre!AZ84</f>
        <v>#N/A</v>
      </c>
      <c r="G96" s="149">
        <f>B79-C79+IF('Información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6" s="149">
        <f>D79-E79+IF('Información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6" s="149">
        <f>F79-G79+IF('Información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6" s="149">
        <f>H79-I79+IF('Información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6" s="144" t="str">
        <f>IF('Información general'!$L$42&gt;=0.25%,"",J79-K79+IF('Información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6" s="144" t="str">
        <f>IF('Información general'!$L$42&gt;=0.25%,"",L79-M79+IF('Información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7" spans="1:13" x14ac:dyDescent="0.2">
      <c r="B97" s="149">
        <f t="shared" si="0"/>
        <v>0</v>
      </c>
      <c r="C97" s="144" t="e">
        <f>IF('Información general'!$L$42&gt;=0.25%,AVERAGE(B80,D80,F80,H80),AVERAGE(B80,D80,F80,H80,J80,L80))</f>
        <v>#DIV/0!</v>
      </c>
      <c r="D97" s="149" t="e">
        <f t="shared" si="1"/>
        <v>#DIV/0!</v>
      </c>
      <c r="E97" s="144" t="e">
        <f>C97-D97+9.8*(('Información general'!$H$53-'Información general'!$H$55)/1000)*(IF('Información general'!$D$53='Equipamiento y listas'!$B$41,K223,IF('Información general'!$D$53='Equipamiento y listas'!$B$42,K232,""))-$B$215)*LOOKUP("psi",'Equipamiento y listas'!$K$47:$K$61,'Equipamiento y listas'!$L$47:$L$61)</f>
        <v>#DIV/0!</v>
      </c>
      <c r="F97" s="149" t="e">
        <f>Incertidumbre!BH84</f>
        <v>#N/A</v>
      </c>
      <c r="G97" s="149">
        <f>B80-C80+IF('Información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7" s="149">
        <f>D80-E80+IF('Información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7" s="149">
        <f>F80-G80+IF('Información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7" s="149">
        <f>H80-I80+IF('Información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7" s="144" t="str">
        <f>IF('Información general'!$L$42&gt;=0.25%,"",J80-K80+IF('Información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7" s="144" t="str">
        <f>IF('Información general'!$L$42&gt;=0.25%,"",L80-M80+IF('Información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8" spans="1:13" x14ac:dyDescent="0.2">
      <c r="B98" s="149">
        <f t="shared" si="0"/>
        <v>0</v>
      </c>
      <c r="C98" s="144" t="e">
        <f>IF('Información general'!$L$42&gt;=0.25%,AVERAGE(B81,D81,F81,H81),AVERAGE(B81,D81,F81,H81,J81,L81))</f>
        <v>#DIV/0!</v>
      </c>
      <c r="D98" s="149" t="e">
        <f t="shared" si="1"/>
        <v>#DIV/0!</v>
      </c>
      <c r="E98" s="144" t="e">
        <f>C98-D98+9.8*(('Información general'!$H$53-'Información general'!$H$55)/1000)*(IF('Información general'!$D$53='Equipamiento y listas'!$B$41,K224,IF('Información general'!$D$53='Equipamiento y listas'!$B$42,K233,""))-$B$215)*LOOKUP("psi",'Equipamiento y listas'!$K$47:$K$61,'Equipamiento y listas'!$L$47:$L$61)</f>
        <v>#DIV/0!</v>
      </c>
      <c r="F98" s="149" t="e">
        <f>Incertidumbre!BP84</f>
        <v>#N/A</v>
      </c>
      <c r="G98" s="149">
        <f>B81-C81+IF('Información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8" s="149">
        <f>D81-E81+IF('Información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8" s="149">
        <f>F81-G81+IF('Información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8" s="149">
        <f>H81-I81+IF('Información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8" s="144" t="str">
        <f>IF('Información general'!$L$42&gt;=0.25%,"",J81-K81+IF('Información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8" s="144" t="str">
        <f>IF('Información general'!$L$42&gt;=0.25%,"",L81-M81+IF('Información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99" spans="1:13" x14ac:dyDescent="0.2">
      <c r="B99" s="149">
        <f t="shared" si="0"/>
        <v>0</v>
      </c>
      <c r="C99" s="144" t="e">
        <f>IF('Información general'!$L$42&gt;=0.25%,AVERAGE(B82,D82,F82,H82),AVERAGE(B82,D82,F82,H82,J82,L82))</f>
        <v>#DIV/0!</v>
      </c>
      <c r="D99" s="149" t="e">
        <f t="shared" si="1"/>
        <v>#DIV/0!</v>
      </c>
      <c r="E99" s="144" t="e">
        <f>C99-D99+9.8*(('Información general'!$H$53-'Información general'!$H$55)/1000)*(IF('Información general'!$D$53='Equipamiento y listas'!$B$41,K225,IF('Información general'!$D$53='Equipamiento y listas'!$B$42,K234,""))-$B$215)*LOOKUP("psi",'Equipamiento y listas'!$K$47:$K$61,'Equipamiento y listas'!$L$47:$L$61)</f>
        <v>#DIV/0!</v>
      </c>
      <c r="F99" s="149" t="e">
        <f>Incertidumbre!BX84</f>
        <v>#N/A</v>
      </c>
      <c r="G99" s="149">
        <f>B82-C82+IF('Información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99" s="149">
        <f>D82-E82+IF('Información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99" s="149">
        <f>F82-G82+IF('Información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99" s="149">
        <f>H82-I82+IF('Información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99" s="144" t="str">
        <f>IF('Información general'!$L$42&gt;=0.25%,"",J82-K82+IF('Información general'!$D$53='Equipamiento y listas'!$B$42,($B$245-$B$215)*9.8*('Información general'!$H$53-'Información general'!$H$55)*LOOKUP("psi",'Equipamiento y listas'!$K$49:$K$61,'Equipamiento y listas'!$L$49:$L$61)/1000,0))</f>
        <v/>
      </c>
      <c r="L99" s="144" t="str">
        <f>IF('Información general'!$L$42&gt;=0.25%,"",L82-M82+IF('Información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100" spans="1:13" x14ac:dyDescent="0.2">
      <c r="B100" s="149">
        <f t="shared" si="0"/>
        <v>0</v>
      </c>
      <c r="C100" s="144" t="e">
        <f>IF('Información general'!$L$42&gt;=0.25%,AVERAGE(B83,D83,F83,H83),AVERAGE(B83,D83,F83,H83,J83,L83))</f>
        <v>#DIV/0!</v>
      </c>
      <c r="D100" s="149" t="e">
        <f t="shared" si="1"/>
        <v>#DIV/0!</v>
      </c>
      <c r="E100" s="144" t="e">
        <f>C100-D100+9.8*(('Información general'!$H$53-'Información general'!$H$55)/1000)*(IF('Información general'!$D$53='Equipamiento y listas'!$B$41,K226,IF('Información general'!$D$53='Equipamiento y listas'!$B$42,K235,""))-$B$215)*LOOKUP("psi",'Equipamiento y listas'!$K$47:$K$61,'Equipamiento y listas'!$L$47:$L$61)</f>
        <v>#DIV/0!</v>
      </c>
      <c r="F100" s="149" t="e">
        <f>Incertidumbre!CF84</f>
        <v>#N/A</v>
      </c>
      <c r="G100" s="149">
        <f>B83-C83+IF('Información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100" s="149">
        <f>D83-E83+IF('Información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100" s="149">
        <f>F83-G83+IF('Información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100" s="149">
        <f>H83-I83+IF('Información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100" s="144" t="str">
        <f>IF('Información general'!$L$42&gt;=0.25%,"",J83-K83+IF('Información general'!$D$53='Equipamiento y listas'!$B$42,($B$245-$B$215)*9.8*('Información general'!$H$53-'Información general'!$H$55)*LOOKUP("psi",'Equipamiento y listas'!$K$49:$K$61,'Equipamiento y listas'!$L$49:$L$61)/1000,0))</f>
        <v/>
      </c>
      <c r="L100" s="144" t="str">
        <f>IF('Información general'!$L$42&gt;=0.25%,"",L83-M83+IF('Información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101" spans="1:13" x14ac:dyDescent="0.2">
      <c r="B101" s="149">
        <f t="shared" si="0"/>
        <v>0</v>
      </c>
      <c r="C101" s="144" t="e">
        <f>IF('Información general'!$L$42&gt;=0.25%,AVERAGE(B84,D84,F84,H84),AVERAGE(B84,D84,F84,H84,J84,L84))</f>
        <v>#DIV/0!</v>
      </c>
      <c r="D101" s="149" t="e">
        <f t="shared" si="1"/>
        <v>#DIV/0!</v>
      </c>
      <c r="E101" s="144" t="e">
        <f>C101-D101+9.8*(('Información general'!$H$53-'Información general'!$H$55)/1000)*(IF('Información general'!$D$53='Equipamiento y listas'!$B$41,K227,IF('Información general'!$D$53='Equipamiento y listas'!$B$42,K236,""))-$B$215)*LOOKUP("psi",'Equipamiento y listas'!$K$47:$K$61,'Equipamiento y listas'!$L$47:$L$61)</f>
        <v>#DIV/0!</v>
      </c>
      <c r="F101" s="149" t="e">
        <f>Incertidumbre!CN84</f>
        <v>#N/A</v>
      </c>
      <c r="G101" s="149">
        <f>B84-C84+IF('Información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H101" s="149">
        <f>D84-E84+IF('Información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I101" s="149">
        <f>F84-G84+IF('Información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J101" s="149">
        <f>H84-I84+IF('Información general'!$D$53='Equipamiento y listas'!$B$42,($B$245-$B$215)*9.8*('Información general'!$H$53-'Información general'!$H$55)*LOOKUP("psi",'Equipamiento y listas'!$K$49:$K$61,'Equipamiento y listas'!$L$49:$L$61)/1000,0)</f>
        <v>0</v>
      </c>
      <c r="K101" s="144" t="str">
        <f>IF('Información general'!$L$42&gt;=0.25%,"",J84-K84+IF('Información general'!$D$53='Equipamiento y listas'!$B$42,($B$245-$B$215)*9.8*('Información general'!$H$53-'Información general'!$H$55)*LOOKUP("psi",'Equipamiento y listas'!$K$49:$K$61,'Equipamiento y listas'!$L$49:$L$61)/1000,0))</f>
        <v/>
      </c>
      <c r="L101" s="144" t="str">
        <f>IF('Información general'!$L$42&gt;=0.25%,"",L84-M84+IF('Información general'!$D$53='Equipamiento y listas'!$B$42,($B$245-$B$215)*9.8*('Información general'!$H$53-'Información general'!$H$55)*LOOKUP("psi",'Equipamiento y listas'!$K$49:$K$61,'Equipamiento y listas'!$L$49:$L$61)/1000,0))</f>
        <v/>
      </c>
    </row>
    <row r="103" spans="1:13" x14ac:dyDescent="0.2">
      <c r="B103" s="312" t="s">
        <v>115</v>
      </c>
      <c r="C103" s="312"/>
      <c r="D103" s="312"/>
      <c r="E103" s="312"/>
      <c r="F103" s="312"/>
      <c r="G103" s="312"/>
      <c r="H103" s="312"/>
      <c r="I103" s="312"/>
      <c r="J103" s="312"/>
      <c r="K103" s="312"/>
      <c r="L103" s="323"/>
    </row>
    <row r="104" spans="1:13" x14ac:dyDescent="0.2">
      <c r="B104" s="338"/>
      <c r="C104" s="338"/>
      <c r="D104" s="338"/>
      <c r="E104" s="338"/>
      <c r="F104" s="338"/>
      <c r="G104" s="338"/>
      <c r="H104" s="338"/>
      <c r="I104" s="338"/>
      <c r="J104" s="338"/>
      <c r="K104" s="338"/>
      <c r="L104" s="325"/>
    </row>
    <row r="105" spans="1:13" ht="20.100000000000001" customHeight="1" x14ac:dyDescent="0.2">
      <c r="B105" s="336" t="s">
        <v>45</v>
      </c>
      <c r="C105" s="337"/>
      <c r="D105" s="337"/>
      <c r="E105" s="175" t="b">
        <f>IF('Información general'!$H$60='Equipamiento y listas'!$A$14,Corrección!$G$430,IF('Información general'!$H$60='Equipamiento y listas'!$A$15,Corrección!$G$475,IF('Información general'!$H$60='Equipamiento y listas'!$A$16,Corrección!$G$520,IF('Información general'!$H$60='Equipamiento y listas'!$A$17,Corrección!$G$565))))</f>
        <v>0</v>
      </c>
      <c r="F105" s="169" t="s">
        <v>16</v>
      </c>
      <c r="G105" s="170"/>
      <c r="H105" s="337" t="s">
        <v>46</v>
      </c>
      <c r="I105" s="337"/>
      <c r="J105" s="337"/>
      <c r="K105" s="175" t="b">
        <f>IF('Información general'!$H$64='Equipamiento y listas'!$A$18,Corrección!$N$430,IF('Información general'!$H$64='Equipamiento y listas'!$A$19,Corrección!$N$475,IF('Información general'!$H$64='Equipamiento y listas'!$A$20,Corrección!$N$520,IF('Información general'!$H$64='Equipamiento y listas'!$A$21,Corrección!$N$565))))</f>
        <v>0</v>
      </c>
      <c r="L105" s="171" t="s">
        <v>48</v>
      </c>
    </row>
    <row r="107" spans="1:13" ht="24.95" customHeight="1" x14ac:dyDescent="0.2">
      <c r="A107" s="234" t="s">
        <v>121</v>
      </c>
      <c r="B107" s="234"/>
      <c r="C107" s="234"/>
      <c r="D107" s="234"/>
      <c r="E107" s="234"/>
      <c r="F107" s="234"/>
      <c r="G107" s="234"/>
      <c r="H107" s="234"/>
      <c r="I107" s="234"/>
      <c r="J107" s="234"/>
      <c r="K107" s="234"/>
      <c r="L107" s="234"/>
      <c r="M107" s="234"/>
    </row>
    <row r="110" spans="1:13" x14ac:dyDescent="0.2">
      <c r="D110" s="176" t="str">
        <f>_xlfn.CONCAT("Indicación promedio del IBC, [",'Información general'!N37,"]")</f>
        <v>Indicación promedio del IBC, [psi]</v>
      </c>
      <c r="E110" s="62" t="str">
        <f>_xlfn.CONCAT("Corrección a la indicación, [",'Información general'!N37,"]")</f>
        <v>Corrección a la indicación, [psi]</v>
      </c>
      <c r="F110" s="62" t="str">
        <f>_xlfn.CONCAT("Incertidumbre expandida, [",'Información general'!N37,"]")</f>
        <v>Incertidumbre expandida, [psi]</v>
      </c>
    </row>
    <row r="111" spans="1:13" x14ac:dyDescent="0.2">
      <c r="C111" s="62" t="str">
        <f>IF(ISNUMBER(E111),FIXED(E111,Informe!R119),"")</f>
        <v/>
      </c>
      <c r="D111" s="177" t="b">
        <f>IF(A47=0,FALSE,D92*LOOKUP("psi",'Equipamiento y listas'!$J$36:$J$48,'Equipamiento y listas'!$L$36:$L$48)*LOOKUP('Información general'!$N$37,'Equipamiento y listas'!$K$49:$K$61,'Equipamiento y listas'!$L$49:$L$61))</f>
        <v>0</v>
      </c>
      <c r="E111" s="177" t="e">
        <f>E92*LOOKUP("psi",'Equipamiento y listas'!$J$36:$J$48,'Equipamiento y listas'!$L$36:$L$48)*LOOKUP('Información general'!$N$37,'Equipamiento y listas'!$K$49:$K$61,'Equipamiento y listas'!$L$49:$L$61)</f>
        <v>#DIV/0!</v>
      </c>
      <c r="F111" s="177" t="e">
        <f>F92*LOOKUP("psi",'Equipamiento y listas'!$J$36:$J$48,'Equipamiento y listas'!$L$36:$L$48)*LOOKUP('Información general'!$N$37,'Equipamiento y listas'!$K$49:$K$61,'Equipamiento y listas'!$L$49:$L$61)</f>
        <v>#N/A</v>
      </c>
    </row>
    <row r="112" spans="1:13" x14ac:dyDescent="0.2">
      <c r="C112" s="62" t="str">
        <f>IF(ISNUMBER(E112),FIXED(E112,Informe!R120),"")</f>
        <v/>
      </c>
      <c r="D112" s="177" t="b">
        <f>IF(A48=0,FALSE,D93*LOOKUP("psi",'Equipamiento y listas'!$J$36:$J$48,'Equipamiento y listas'!$L$36:$L$48)*LOOKUP('Información general'!$N$37,'Equipamiento y listas'!$K$49:$K$61,'Equipamiento y listas'!$L$49:$L$61))</f>
        <v>0</v>
      </c>
      <c r="E112" s="177" t="e">
        <f>E93*LOOKUP("psi",'Equipamiento y listas'!$J$36:$J$48,'Equipamiento y listas'!$L$36:$L$48)*LOOKUP('Información general'!$N$37,'Equipamiento y listas'!$K$49:$K$61,'Equipamiento y listas'!$L$49:$L$61)</f>
        <v>#DIV/0!</v>
      </c>
      <c r="F112" s="177" t="e">
        <f>F93*LOOKUP("psi",'Equipamiento y listas'!$J$36:$J$48,'Equipamiento y listas'!$L$36:$L$48)*LOOKUP('Información general'!$N$37,'Equipamiento y listas'!$K$49:$K$61,'Equipamiento y listas'!$L$49:$L$61)</f>
        <v>#N/A</v>
      </c>
    </row>
    <row r="113" spans="3:6" x14ac:dyDescent="0.2">
      <c r="C113" s="62" t="str">
        <f>IF(ISNUMBER(E113),FIXED(E113,Informe!R121),"")</f>
        <v/>
      </c>
      <c r="D113" s="177" t="b">
        <f>IF(A49=0,FALSE,D94*LOOKUP("psi",'Equipamiento y listas'!$J$36:$J$48,'Equipamiento y listas'!$L$36:$L$48)*LOOKUP('Información general'!$N$37,'Equipamiento y listas'!$K$49:$K$61,'Equipamiento y listas'!$L$49:$L$61))</f>
        <v>0</v>
      </c>
      <c r="E113" s="177" t="e">
        <f>E94*LOOKUP("psi",'Equipamiento y listas'!$J$36:$J$48,'Equipamiento y listas'!$L$36:$L$48)*LOOKUP('Información general'!$N$37,'Equipamiento y listas'!$K$49:$K$61,'Equipamiento y listas'!$L$49:$L$61)</f>
        <v>#DIV/0!</v>
      </c>
      <c r="F113" s="177" t="e">
        <f>F94*LOOKUP("psi",'Equipamiento y listas'!$J$36:$J$48,'Equipamiento y listas'!$L$36:$L$48)*LOOKUP('Información general'!$N$37,'Equipamiento y listas'!$K$49:$K$61,'Equipamiento y listas'!$L$49:$L$61)</f>
        <v>#N/A</v>
      </c>
    </row>
    <row r="114" spans="3:6" x14ac:dyDescent="0.2">
      <c r="C114" s="62" t="str">
        <f>IF(ISNUMBER(E114),FIXED(E114,Informe!R122),"")</f>
        <v/>
      </c>
      <c r="D114" s="177" t="b">
        <f>IF(A50=0,FALSE,D95*LOOKUP("psi",'Equipamiento y listas'!$J$36:$J$48,'Equipamiento y listas'!$L$36:$L$48)*LOOKUP('Información general'!$N$37,'Equipamiento y listas'!$K$49:$K$61,'Equipamiento y listas'!$L$49:$L$61))</f>
        <v>0</v>
      </c>
      <c r="E114" s="177" t="e">
        <f>E95*LOOKUP("psi",'Equipamiento y listas'!$J$36:$J$48,'Equipamiento y listas'!$L$36:$L$48)*LOOKUP('Información general'!$N$37,'Equipamiento y listas'!$K$49:$K$61,'Equipamiento y listas'!$L$49:$L$61)</f>
        <v>#DIV/0!</v>
      </c>
      <c r="F114" s="177" t="e">
        <f>F95*LOOKUP("psi",'Equipamiento y listas'!$J$36:$J$48,'Equipamiento y listas'!$L$36:$L$48)*LOOKUP('Información general'!$N$37,'Equipamiento y listas'!$K$49:$K$61,'Equipamiento y listas'!$L$49:$L$61)</f>
        <v>#N/A</v>
      </c>
    </row>
    <row r="115" spans="3:6" x14ac:dyDescent="0.2">
      <c r="C115" s="62" t="str">
        <f>IF(ISNUMBER(E115),FIXED(E115,Informe!R123),"")</f>
        <v/>
      </c>
      <c r="D115" s="177" t="b">
        <f>IF(A51=0,FALSE,D96*LOOKUP("psi",'Equipamiento y listas'!$J$36:$J$48,'Equipamiento y listas'!$L$36:$L$48)*LOOKUP('Información general'!$N$37,'Equipamiento y listas'!$K$49:$K$61,'Equipamiento y listas'!$L$49:$L$61))</f>
        <v>0</v>
      </c>
      <c r="E115" s="177" t="e">
        <f>E96*LOOKUP("psi",'Equipamiento y listas'!$J$36:$J$48,'Equipamiento y listas'!$L$36:$L$48)*LOOKUP('Información general'!$N$37,'Equipamiento y listas'!$K$49:$K$61,'Equipamiento y listas'!$L$49:$L$61)</f>
        <v>#DIV/0!</v>
      </c>
      <c r="F115" s="177" t="e">
        <f>F96*LOOKUP("psi",'Equipamiento y listas'!$J$36:$J$48,'Equipamiento y listas'!$L$36:$L$48)*LOOKUP('Información general'!$N$37,'Equipamiento y listas'!$K$49:$K$61,'Equipamiento y listas'!$L$49:$L$61)</f>
        <v>#N/A</v>
      </c>
    </row>
    <row r="116" spans="3:6" x14ac:dyDescent="0.2">
      <c r="C116" s="62" t="str">
        <f>IF(ISNUMBER(E116),FIXED(E116,Informe!R124),"")</f>
        <v/>
      </c>
      <c r="D116" s="177" t="b">
        <f>IF(A52=0,FALSE,D97*LOOKUP("psi",'Equipamiento y listas'!$J$36:$J$48,'Equipamiento y listas'!$L$36:$L$48)*LOOKUP('Información general'!$N$37,'Equipamiento y listas'!$K$49:$K$61,'Equipamiento y listas'!$L$49:$L$61))</f>
        <v>0</v>
      </c>
      <c r="E116" s="177" t="e">
        <f>E97*LOOKUP("psi",'Equipamiento y listas'!$J$36:$J$48,'Equipamiento y listas'!$L$36:$L$48)*LOOKUP('Información general'!$N$37,'Equipamiento y listas'!$K$49:$K$61,'Equipamiento y listas'!$L$49:$L$61)</f>
        <v>#DIV/0!</v>
      </c>
      <c r="F116" s="177" t="e">
        <f>F97*LOOKUP("psi",'Equipamiento y listas'!$J$36:$J$48,'Equipamiento y listas'!$L$36:$L$48)*LOOKUP('Información general'!$N$37,'Equipamiento y listas'!$K$49:$K$61,'Equipamiento y listas'!$L$49:$L$61)</f>
        <v>#N/A</v>
      </c>
    </row>
    <row r="117" spans="3:6" x14ac:dyDescent="0.2">
      <c r="C117" s="62" t="str">
        <f>IF(ISNUMBER(E117),FIXED(E117,Informe!R125),"")</f>
        <v/>
      </c>
      <c r="D117" s="177" t="b">
        <f>IF(A53=0,FALSE,D98*LOOKUP("psi",'Equipamiento y listas'!$J$36:$J$48,'Equipamiento y listas'!$L$36:$L$48)*LOOKUP('Información general'!$N$37,'Equipamiento y listas'!$K$49:$K$61,'Equipamiento y listas'!$L$49:$L$61))</f>
        <v>0</v>
      </c>
      <c r="E117" s="177" t="e">
        <f>E98*LOOKUP("psi",'Equipamiento y listas'!$J$36:$J$48,'Equipamiento y listas'!$L$36:$L$48)*LOOKUP('Información general'!$N$37,'Equipamiento y listas'!$K$49:$K$61,'Equipamiento y listas'!$L$49:$L$61)</f>
        <v>#DIV/0!</v>
      </c>
      <c r="F117" s="177" t="e">
        <f>F98*LOOKUP("psi",'Equipamiento y listas'!$J$36:$J$48,'Equipamiento y listas'!$L$36:$L$48)*LOOKUP('Información general'!$N$37,'Equipamiento y listas'!$K$49:$K$61,'Equipamiento y listas'!$L$49:$L$61)</f>
        <v>#N/A</v>
      </c>
    </row>
    <row r="118" spans="3:6" x14ac:dyDescent="0.2">
      <c r="C118" s="62" t="str">
        <f>IF(ISNUMBER(E118),FIXED(E118,Informe!R126),"")</f>
        <v/>
      </c>
      <c r="D118" s="177" t="b">
        <f>IF(A54=0,FALSE,D99*LOOKUP("psi",'Equipamiento y listas'!$J$36:$J$48,'Equipamiento y listas'!$L$36:$L$48)*LOOKUP('Información general'!$N$37,'Equipamiento y listas'!$K$49:$K$61,'Equipamiento y listas'!$L$49:$L$61))</f>
        <v>0</v>
      </c>
      <c r="E118" s="177" t="e">
        <f>E99*LOOKUP("psi",'Equipamiento y listas'!$J$36:$J$48,'Equipamiento y listas'!$L$36:$L$48)*LOOKUP('Información general'!$N$37,'Equipamiento y listas'!$K$49:$K$61,'Equipamiento y listas'!$L$49:$L$61)</f>
        <v>#DIV/0!</v>
      </c>
      <c r="F118" s="177" t="e">
        <f>F99*LOOKUP("psi",'Equipamiento y listas'!$J$36:$J$48,'Equipamiento y listas'!$L$36:$L$48)*LOOKUP('Información general'!$N$37,'Equipamiento y listas'!$K$49:$K$61,'Equipamiento y listas'!$L$49:$L$61)</f>
        <v>#N/A</v>
      </c>
    </row>
    <row r="119" spans="3:6" x14ac:dyDescent="0.2">
      <c r="C119" s="62" t="str">
        <f>IF(ISNUMBER(E119),FIXED(E119,Informe!R127),"")</f>
        <v/>
      </c>
      <c r="D119" s="177" t="b">
        <f>IF(A55=0,FALSE,D100*LOOKUP("psi",'Equipamiento y listas'!$J$36:$J$48,'Equipamiento y listas'!$L$36:$L$48)*LOOKUP('Información general'!$N$37,'Equipamiento y listas'!$K$49:$K$61,'Equipamiento y listas'!$L$49:$L$61))</f>
        <v>0</v>
      </c>
      <c r="E119" s="177" t="e">
        <f>E100*LOOKUP("psi",'Equipamiento y listas'!$J$36:$J$48,'Equipamiento y listas'!$L$36:$L$48)*LOOKUP('Información general'!$N$37,'Equipamiento y listas'!$K$49:$K$61,'Equipamiento y listas'!$L$49:$L$61)</f>
        <v>#DIV/0!</v>
      </c>
      <c r="F119" s="177" t="e">
        <f>F100*LOOKUP("psi",'Equipamiento y listas'!$J$36:$J$48,'Equipamiento y listas'!$L$36:$L$48)*LOOKUP('Información general'!$N$37,'Equipamiento y listas'!$K$49:$K$61,'Equipamiento y listas'!$L$49:$L$61)</f>
        <v>#N/A</v>
      </c>
    </row>
    <row r="120" spans="3:6" x14ac:dyDescent="0.2">
      <c r="C120" s="62" t="str">
        <f>IF(ISNUMBER(E120),FIXED(E120,Informe!R128),"")</f>
        <v/>
      </c>
      <c r="D120" s="177" t="b">
        <f>IF(A56=0,FALSE,D101*LOOKUP("psi",'Equipamiento y listas'!$J$36:$J$48,'Equipamiento y listas'!$L$36:$L$48)*LOOKUP('Información general'!$N$37,'Equipamiento y listas'!$K$49:$K$61,'Equipamiento y listas'!$L$49:$L$61))</f>
        <v>0</v>
      </c>
      <c r="E120" s="177" t="e">
        <f>E101*LOOKUP("psi",'Equipamiento y listas'!$J$36:$J$48,'Equipamiento y listas'!$L$36:$L$48)*LOOKUP('Información general'!$N$37,'Equipamiento y listas'!$K$49:$K$61,'Equipamiento y listas'!$L$49:$L$61)</f>
        <v>#DIV/0!</v>
      </c>
      <c r="F120" s="177" t="e">
        <f>F101*LOOKUP("psi",'Equipamiento y listas'!$J$36:$J$48,'Equipamiento y listas'!$L$36:$L$48)*LOOKUP('Información general'!$N$37,'Equipamiento y listas'!$K$49:$K$61,'Equipamiento y listas'!$L$49:$L$61)</f>
        <v>#N/A</v>
      </c>
    </row>
    <row r="121" spans="3:6" x14ac:dyDescent="0.2">
      <c r="D121" s="178"/>
    </row>
    <row r="122" spans="3:6" x14ac:dyDescent="0.2">
      <c r="D122" s="178"/>
    </row>
    <row r="131" spans="1:13" ht="24.95" customHeight="1" x14ac:dyDescent="0.2">
      <c r="A131" s="234" t="s">
        <v>339</v>
      </c>
      <c r="B131" s="234"/>
      <c r="C131" s="234"/>
      <c r="D131" s="234"/>
      <c r="E131" s="234"/>
      <c r="F131" s="234"/>
      <c r="G131" s="234"/>
      <c r="H131" s="234"/>
      <c r="I131" s="234"/>
      <c r="J131" s="234"/>
      <c r="K131" s="234"/>
      <c r="L131" s="234"/>
      <c r="M131" s="234"/>
    </row>
    <row r="134" spans="1:13" x14ac:dyDescent="0.2">
      <c r="C134" s="62" t="e">
        <f>D92*LOOKUP("psi",'Equipamiento y listas'!$J$36:$J$48,'Equipamiento y listas'!$L$36:$L$48)*LOOKUP('Información general'!$N$37,'Equipamiento y listas'!$K$49:$K$61,'Equipamiento y listas'!$L$49:$L$61)</f>
        <v>#DIV/0!</v>
      </c>
      <c r="D134" s="62" t="e">
        <f>D92*LOOKUP("psi",'Equipamiento y listas'!$J$36:$J$48,'Equipamiento y listas'!$L$36:$L$48)*LOOKUP('Información general'!$N$37,'Equipamiento y listas'!$K$49:$K$61,'Equipamiento y listas'!$L$49:$L$61)</f>
        <v>#DIV/0!</v>
      </c>
      <c r="E134" s="62">
        <f>AVERAGE(G92,I92,K92)*LOOKUP("psi",'Equipamiento y listas'!$J$36:$J$48,'Equipamiento y listas'!$L$36:$L$48)*LOOKUP('Información general'!$N$37,'Equipamiento y listas'!$K$49:$K$61,'Equipamiento y listas'!$L$49:$L$61)</f>
        <v>0</v>
      </c>
      <c r="F134" s="62">
        <f>AVERAGE(H92,J92,L92)*LOOKUP("psi",'Equipamiento y listas'!$J$36:$J$48,'Equipamiento y listas'!$L$36:$L$48)*LOOKUP('Información general'!$N$37,'Equipamiento y listas'!$K$49:$K$61,'Equipamiento y listas'!$L$49:$L$61)</f>
        <v>0</v>
      </c>
      <c r="G134" s="179">
        <f>F134-E134</f>
        <v>0</v>
      </c>
      <c r="H134" s="62">
        <f>(E134+F134)/2</f>
        <v>0</v>
      </c>
    </row>
    <row r="135" spans="1:13" x14ac:dyDescent="0.2">
      <c r="C135" s="62" t="e">
        <f>IF(ISBLANK(A48),C134,D93*LOOKUP("psi",'Equipamiento y listas'!$J$36:$J$48,'Equipamiento y listas'!$L$36:$L$48)*LOOKUP('Información general'!$N$37,'Equipamiento y listas'!$K$49:$K$61,'Equipamiento y listas'!$L$49:$L$61))</f>
        <v>#DIV/0!</v>
      </c>
      <c r="D135" s="62" t="e">
        <f>IF(ISBLANK(A48),D134,D93*LOOKUP("psi",'Equipamiento y listas'!$J$36:$J$48,'Equipamiento y listas'!$L$36:$L$48)*LOOKUP('Información general'!$N$37,'Equipamiento y listas'!$K$49:$K$61,'Equipamiento y listas'!$L$49:$L$61))</f>
        <v>#DIV/0!</v>
      </c>
      <c r="E135" s="62">
        <f>IF(ISBLANK(A48),E134,AVERAGE(G93,I93,K93)*LOOKUP("psi",'Equipamiento y listas'!$J$36:$J$48,'Equipamiento y listas'!$L$36:$L$48)*LOOKUP('Información general'!$N$37,'Equipamiento y listas'!$K$49:$K$61,'Equipamiento y listas'!$L$49:$L$61))</f>
        <v>0</v>
      </c>
      <c r="F135" s="62">
        <f>IF(ISBLANK(A48),F134,AVERAGE(H93,J93,L93)*LOOKUP("psi",'Equipamiento y listas'!$J$36:$J$48,'Equipamiento y listas'!$L$36:$L$48)*LOOKUP('Información general'!$N$37,'Equipamiento y listas'!$K$49:$K$61,'Equipamiento y listas'!$L$49:$L$61))</f>
        <v>0</v>
      </c>
      <c r="G135" s="179">
        <f t="shared" ref="G135:G143" si="2">F135-E135</f>
        <v>0</v>
      </c>
      <c r="H135" s="62">
        <f t="shared" ref="H135:H143" si="3">(E135+F135)/2</f>
        <v>0</v>
      </c>
    </row>
    <row r="136" spans="1:13" x14ac:dyDescent="0.2">
      <c r="C136" s="62" t="e">
        <f>IF(ISBLANK(A49),C135,D94*LOOKUP("psi",'Equipamiento y listas'!$J$36:$J$48,'Equipamiento y listas'!$L$36:$L$48)*LOOKUP('Información general'!$N$37,'Equipamiento y listas'!$K$49:$K$61,'Equipamiento y listas'!$L$49:$L$61))</f>
        <v>#DIV/0!</v>
      </c>
      <c r="D136" s="62" t="e">
        <f>IF(ISBLANK(A49),D135,D94*LOOKUP("psi",'Equipamiento y listas'!$J$36:$J$48,'Equipamiento y listas'!$L$36:$L$48)*LOOKUP('Información general'!$N$37,'Equipamiento y listas'!$K$49:$K$61,'Equipamiento y listas'!$L$49:$L$61))</f>
        <v>#DIV/0!</v>
      </c>
      <c r="E136" s="62">
        <f>IF(ISBLANK(A49),E135,AVERAGE(G94,I94,K94)*LOOKUP("psi",'Equipamiento y listas'!$J$36:$J$48,'Equipamiento y listas'!$L$36:$L$48)*LOOKUP('Información general'!$N$37,'Equipamiento y listas'!$K$49:$K$61,'Equipamiento y listas'!$L$49:$L$61))</f>
        <v>0</v>
      </c>
      <c r="F136" s="62">
        <f>IF(ISBLANK(A49),F135,AVERAGE(H94,J94,L94)*LOOKUP("psi",'Equipamiento y listas'!$J$36:$J$48,'Equipamiento y listas'!$L$36:$L$48)*LOOKUP('Información general'!$N$37,'Equipamiento y listas'!$K$49:$K$61,'Equipamiento y listas'!$L$49:$L$61))</f>
        <v>0</v>
      </c>
      <c r="G136" s="179">
        <f t="shared" si="2"/>
        <v>0</v>
      </c>
      <c r="H136" s="62">
        <f t="shared" si="3"/>
        <v>0</v>
      </c>
    </row>
    <row r="137" spans="1:13" x14ac:dyDescent="0.2">
      <c r="C137" s="62" t="e">
        <f>IF(ISBLANK(A50),C136,D95*LOOKUP("psi",'Equipamiento y listas'!$J$36:$J$48,'Equipamiento y listas'!$L$36:$L$48)*LOOKUP('Información general'!$N$37,'Equipamiento y listas'!$K$49:$K$61,'Equipamiento y listas'!$L$49:$L$61))</f>
        <v>#DIV/0!</v>
      </c>
      <c r="D137" s="62" t="e">
        <f>IF(ISBLANK(A50),D136,D95*LOOKUP("psi",'Equipamiento y listas'!$J$36:$J$48,'Equipamiento y listas'!$L$36:$L$48)*LOOKUP('Información general'!$N$37,'Equipamiento y listas'!$K$49:$K$61,'Equipamiento y listas'!$L$49:$L$61))</f>
        <v>#DIV/0!</v>
      </c>
      <c r="E137" s="62">
        <f>IF(ISBLANK(A50),E136,AVERAGE(G95,I95,K95)*LOOKUP("psi",'Equipamiento y listas'!$J$36:$J$48,'Equipamiento y listas'!$L$36:$L$48)*LOOKUP('Información general'!$N$37,'Equipamiento y listas'!$K$49:$K$61,'Equipamiento y listas'!$L$49:$L$61))</f>
        <v>0</v>
      </c>
      <c r="F137" s="62">
        <f>IF(ISBLANK(A50),F136,AVERAGE(H95,J95,L95)*LOOKUP("psi",'Equipamiento y listas'!$J$36:$J$48,'Equipamiento y listas'!$L$36:$L$48)*LOOKUP('Información general'!$N$37,'Equipamiento y listas'!$K$49:$K$61,'Equipamiento y listas'!$L$49:$L$61))</f>
        <v>0</v>
      </c>
      <c r="G137" s="179">
        <f t="shared" si="2"/>
        <v>0</v>
      </c>
      <c r="H137" s="62">
        <f t="shared" si="3"/>
        <v>0</v>
      </c>
    </row>
    <row r="138" spans="1:13" x14ac:dyDescent="0.2">
      <c r="C138" s="62" t="e">
        <f>IF(ISBLANK(A51),C137,D96*LOOKUP("psi",'Equipamiento y listas'!$J$36:$J$48,'Equipamiento y listas'!$L$36:$L$48)*LOOKUP('Información general'!$N$37,'Equipamiento y listas'!$K$49:$K$61,'Equipamiento y listas'!$L$49:$L$61))</f>
        <v>#DIV/0!</v>
      </c>
      <c r="D138" s="62" t="e">
        <f>IF(ISBLANK(A51),D137,D96*LOOKUP("psi",'Equipamiento y listas'!$J$36:$J$48,'Equipamiento y listas'!$L$36:$L$48)*LOOKUP('Información general'!$N$37,'Equipamiento y listas'!$K$49:$K$61,'Equipamiento y listas'!$L$49:$L$61))</f>
        <v>#DIV/0!</v>
      </c>
      <c r="E138" s="62">
        <f>IF(ISBLANK(A51),E137,AVERAGE(G96,I96,K96)*LOOKUP("psi",'Equipamiento y listas'!$J$36:$J$48,'Equipamiento y listas'!$L$36:$L$48)*LOOKUP('Información general'!$N$37,'Equipamiento y listas'!$K$49:$K$61,'Equipamiento y listas'!$L$49:$L$61))</f>
        <v>0</v>
      </c>
      <c r="F138" s="62">
        <f>IF(ISBLANK(A51),F137,AVERAGE(H96,J96,L96)*LOOKUP("psi",'Equipamiento y listas'!$J$36:$J$48,'Equipamiento y listas'!$L$36:$L$48)*LOOKUP('Información general'!$N$37,'Equipamiento y listas'!$K$49:$K$61,'Equipamiento y listas'!$L$49:$L$61))</f>
        <v>0</v>
      </c>
      <c r="G138" s="179">
        <f t="shared" si="2"/>
        <v>0</v>
      </c>
      <c r="H138" s="62">
        <f t="shared" si="3"/>
        <v>0</v>
      </c>
    </row>
    <row r="139" spans="1:13" x14ac:dyDescent="0.2">
      <c r="C139" s="62" t="e">
        <f>IF(ISBLANK(A52),C138,D97*LOOKUP("psi",'Equipamiento y listas'!$J$36:$J$48,'Equipamiento y listas'!$L$36:$L$48)*LOOKUP('Información general'!$N$37,'Equipamiento y listas'!$K$49:$K$61,'Equipamiento y listas'!$L$49:$L$61))</f>
        <v>#DIV/0!</v>
      </c>
      <c r="D139" s="62" t="e">
        <f>IF(ISBLANK(A52),D138,D97*LOOKUP("psi",'Equipamiento y listas'!$J$36:$J$48,'Equipamiento y listas'!$L$36:$L$48)*LOOKUP('Información general'!$N$37,'Equipamiento y listas'!$K$49:$K$61,'Equipamiento y listas'!$L$49:$L$61))</f>
        <v>#DIV/0!</v>
      </c>
      <c r="E139" s="62">
        <f>IF(ISBLANK(A52),E138,AVERAGE(G97,I97,K97)*LOOKUP("psi",'Equipamiento y listas'!$J$36:$J$48,'Equipamiento y listas'!$L$36:$L$48)*LOOKUP('Información general'!$N$37,'Equipamiento y listas'!$K$49:$K$61,'Equipamiento y listas'!$L$49:$L$61))</f>
        <v>0</v>
      </c>
      <c r="F139" s="62">
        <f>IF(ISBLANK(A52),F138,AVERAGE(H97,J97,L97)*LOOKUP("psi",'Equipamiento y listas'!$J$36:$J$48,'Equipamiento y listas'!$L$36:$L$48)*LOOKUP('Información general'!$N$37,'Equipamiento y listas'!$K$49:$K$61,'Equipamiento y listas'!$L$49:$L$61))</f>
        <v>0</v>
      </c>
      <c r="G139" s="179">
        <f t="shared" si="2"/>
        <v>0</v>
      </c>
      <c r="H139" s="62">
        <f t="shared" si="3"/>
        <v>0</v>
      </c>
    </row>
    <row r="140" spans="1:13" x14ac:dyDescent="0.2">
      <c r="C140" s="62" t="e">
        <f>IF(ISBLANK(A53),C139,D98*LOOKUP("psi",'Equipamiento y listas'!$J$36:$J$48,'Equipamiento y listas'!$L$36:$L$48)*LOOKUP('Información general'!$N$37,'Equipamiento y listas'!$K$49:$K$61,'Equipamiento y listas'!$L$49:$L$61))</f>
        <v>#DIV/0!</v>
      </c>
      <c r="D140" s="62" t="e">
        <f>IF(ISBLANK(A53),D139,D98*LOOKUP("psi",'Equipamiento y listas'!$J$36:$J$48,'Equipamiento y listas'!$L$36:$L$48)*LOOKUP('Información general'!$N$37,'Equipamiento y listas'!$K$49:$K$61,'Equipamiento y listas'!$L$49:$L$61))</f>
        <v>#DIV/0!</v>
      </c>
      <c r="E140" s="62">
        <f>IF(ISBLANK(A53),E139,AVERAGE(G98,I98,K98)*LOOKUP("psi",'Equipamiento y listas'!$J$36:$J$48,'Equipamiento y listas'!$L$36:$L$48)*LOOKUP('Información general'!$N$37,'Equipamiento y listas'!$K$49:$K$61,'Equipamiento y listas'!$L$49:$L$61))</f>
        <v>0</v>
      </c>
      <c r="F140" s="62">
        <f>IF(ISBLANK(A53),F139,AVERAGE(H98,J98,L98)*LOOKUP("psi",'Equipamiento y listas'!$J$36:$J$48,'Equipamiento y listas'!$L$36:$L$48)*LOOKUP('Información general'!$N$37,'Equipamiento y listas'!$K$49:$K$61,'Equipamiento y listas'!$L$49:$L$61))</f>
        <v>0</v>
      </c>
      <c r="G140" s="179">
        <f t="shared" si="2"/>
        <v>0</v>
      </c>
      <c r="H140" s="62">
        <f t="shared" si="3"/>
        <v>0</v>
      </c>
    </row>
    <row r="141" spans="1:13" x14ac:dyDescent="0.2">
      <c r="C141" s="62" t="e">
        <f>IF(ISBLANK(A54),C140,D99*LOOKUP("psi",'Equipamiento y listas'!$J$36:$J$48,'Equipamiento y listas'!$L$36:$L$48)*LOOKUP('Información general'!$N$37,'Equipamiento y listas'!$K$49:$K$61,'Equipamiento y listas'!$L$49:$L$61))</f>
        <v>#DIV/0!</v>
      </c>
      <c r="D141" s="62" t="e">
        <f>IF(ISBLANK(A54),D140,D99*LOOKUP("psi",'Equipamiento y listas'!$J$36:$J$48,'Equipamiento y listas'!$L$36:$L$48)*LOOKUP('Información general'!$N$37,'Equipamiento y listas'!$K$49:$K$61,'Equipamiento y listas'!$L$49:$L$61))</f>
        <v>#DIV/0!</v>
      </c>
      <c r="E141" s="62">
        <f>IF(ISBLANK(A54),E140,AVERAGE(G99,I99,K99)*LOOKUP("psi",'Equipamiento y listas'!$J$36:$J$48,'Equipamiento y listas'!$L$36:$L$48)*LOOKUP('Información general'!$N$37,'Equipamiento y listas'!$K$49:$K$61,'Equipamiento y listas'!$L$49:$L$61))</f>
        <v>0</v>
      </c>
      <c r="F141" s="62">
        <f>IF(ISBLANK(A54),F140,AVERAGE(H99,J99,L99)*LOOKUP("psi",'Equipamiento y listas'!$J$36:$J$48,'Equipamiento y listas'!$L$36:$L$48)*LOOKUP('Información general'!$N$37,'Equipamiento y listas'!$K$49:$K$61,'Equipamiento y listas'!$L$49:$L$61))</f>
        <v>0</v>
      </c>
      <c r="G141" s="179">
        <f t="shared" si="2"/>
        <v>0</v>
      </c>
      <c r="H141" s="62">
        <f t="shared" si="3"/>
        <v>0</v>
      </c>
    </row>
    <row r="142" spans="1:13" x14ac:dyDescent="0.2">
      <c r="C142" s="62" t="e">
        <f>IF(ISBLANK(A55),C141,D100*LOOKUP("psi",'Equipamiento y listas'!$J$36:$J$48,'Equipamiento y listas'!$L$36:$L$48)*LOOKUP('Información general'!$N$37,'Equipamiento y listas'!$K$49:$K$61,'Equipamiento y listas'!$L$49:$L$61))</f>
        <v>#DIV/0!</v>
      </c>
      <c r="D142" s="62" t="e">
        <f>IF(ISBLANK(A55),D141,D100*LOOKUP("psi",'Equipamiento y listas'!$J$36:$J$48,'Equipamiento y listas'!$L$36:$L$48)*LOOKUP('Información general'!$N$37,'Equipamiento y listas'!$K$49:$K$61,'Equipamiento y listas'!$L$49:$L$61))</f>
        <v>#DIV/0!</v>
      </c>
      <c r="E142" s="62">
        <f>IF(ISBLANK(A55),E141,AVERAGE(G100,I100,K100)*LOOKUP("psi",'Equipamiento y listas'!$J$36:$J$48,'Equipamiento y listas'!$L$36:$L$48)*LOOKUP('Información general'!$N$37,'Equipamiento y listas'!$K$49:$K$61,'Equipamiento y listas'!$L$49:$L$61))</f>
        <v>0</v>
      </c>
      <c r="F142" s="62">
        <f>IF(ISBLANK(A55),F141,AVERAGE(H100,J100,L100)*LOOKUP("psi",'Equipamiento y listas'!$J$36:$J$48,'Equipamiento y listas'!$L$36:$L$48)*LOOKUP('Información general'!$N$37,'Equipamiento y listas'!$K$49:$K$61,'Equipamiento y listas'!$L$49:$L$61))</f>
        <v>0</v>
      </c>
      <c r="G142" s="179">
        <f t="shared" si="2"/>
        <v>0</v>
      </c>
      <c r="H142" s="62">
        <f t="shared" si="3"/>
        <v>0</v>
      </c>
    </row>
    <row r="143" spans="1:13" x14ac:dyDescent="0.2">
      <c r="C143" s="62" t="e">
        <f>IF(ISBLANK(A56),C142,D101*LOOKUP("psi",'Equipamiento y listas'!$J$36:$J$48,'Equipamiento y listas'!$L$36:$L$48)*LOOKUP('Información general'!$N$37,'Equipamiento y listas'!$K$49:$K$61,'Equipamiento y listas'!$L$49:$L$61))</f>
        <v>#DIV/0!</v>
      </c>
      <c r="D143" s="62" t="e">
        <f>IF(ISBLANK(A56),D142,D101*LOOKUP("psi",'Equipamiento y listas'!$J$36:$J$48,'Equipamiento y listas'!$L$36:$L$48)*LOOKUP('Información general'!$N$37,'Equipamiento y listas'!$K$49:$K$61,'Equipamiento y listas'!$L$49:$L$61))</f>
        <v>#DIV/0!</v>
      </c>
      <c r="E143" s="62">
        <f>IF(ISBLANK(A56),E142,AVERAGE(G101,I101,K101)*LOOKUP("psi",'Equipamiento y listas'!$J$36:$J$48,'Equipamiento y listas'!$L$36:$L$48)*LOOKUP('Información general'!$N$37,'Equipamiento y listas'!$K$49:$K$61,'Equipamiento y listas'!$L$49:$L$61))</f>
        <v>0</v>
      </c>
      <c r="F143" s="62">
        <f>IF(ISBLANK(A56),F142,AVERAGE(H101,J101,L101)*LOOKUP("psi",'Equipamiento y listas'!$J$36:$J$48,'Equipamiento y listas'!$L$36:$L$48)*LOOKUP('Información general'!$N$37,'Equipamiento y listas'!$K$49:$K$61,'Equipamiento y listas'!$L$49:$L$61))</f>
        <v>0</v>
      </c>
      <c r="G143" s="179">
        <f t="shared" si="2"/>
        <v>0</v>
      </c>
      <c r="H143" s="62">
        <f t="shared" si="3"/>
        <v>0</v>
      </c>
    </row>
    <row r="158" spans="1:13" ht="24.95" customHeight="1" x14ac:dyDescent="0.2">
      <c r="A158" s="234" t="s">
        <v>295</v>
      </c>
      <c r="B158" s="234"/>
      <c r="C158" s="234"/>
      <c r="D158" s="234"/>
      <c r="E158" s="234"/>
      <c r="F158" s="234"/>
      <c r="G158" s="234"/>
      <c r="H158" s="234"/>
      <c r="I158" s="234"/>
      <c r="J158" s="234"/>
      <c r="K158" s="234"/>
      <c r="L158" s="234"/>
      <c r="M158" s="234"/>
    </row>
    <row r="162" spans="3:9" x14ac:dyDescent="0.2">
      <c r="D162" s="62" t="s">
        <v>340</v>
      </c>
      <c r="E162" s="62" t="s">
        <v>341</v>
      </c>
      <c r="F162" s="62" t="s">
        <v>342</v>
      </c>
      <c r="G162" s="62" t="s">
        <v>343</v>
      </c>
      <c r="H162" s="62" t="s">
        <v>344</v>
      </c>
      <c r="I162" s="62" t="s">
        <v>345</v>
      </c>
    </row>
    <row r="163" spans="3:9" x14ac:dyDescent="0.2">
      <c r="C163" s="62" t="e">
        <f>D92*LOOKUP("psi",'Equipamiento y listas'!$J$36:$J$48,'Equipamiento y listas'!$L$36:$L$48)*LOOKUP('Información general'!$N$37,'Equipamiento y listas'!$K$49:$K$61,'Equipamiento y listas'!$L$49:$L$61)</f>
        <v>#DIV/0!</v>
      </c>
      <c r="D163" s="62">
        <f>G92*LOOKUP("psi",'Equipamiento y listas'!$J$36:$J$48,'Equipamiento y listas'!$L$36:$L$48)*LOOKUP('Información general'!$N$37,'Equipamiento y listas'!$K$49:$K$61,'Equipamiento y listas'!$L$49:$L$61)</f>
        <v>0</v>
      </c>
      <c r="E163" s="62">
        <f>H92*LOOKUP("psi",'Equipamiento y listas'!$J$36:$J$48,'Equipamiento y listas'!$L$36:$L$48)*LOOKUP('Información general'!$N$37,'Equipamiento y listas'!$K$49:$K$61,'Equipamiento y listas'!$L$49:$L$61)</f>
        <v>0</v>
      </c>
      <c r="F163" s="62">
        <f>I92*LOOKUP("psi",'Equipamiento y listas'!$J$36:$J$48,'Equipamiento y listas'!$L$36:$L$48)*LOOKUP('Información general'!$N$37,'Equipamiento y listas'!$K$49:$K$61,'Equipamiento y listas'!$L$49:$L$61)</f>
        <v>0</v>
      </c>
      <c r="G163" s="62">
        <f>J92*LOOKUP("psi",'Equipamiento y listas'!$J$36:$J$48,'Equipamiento y listas'!$L$36:$L$48)*LOOKUP('Información general'!$N$37,'Equipamiento y listas'!$K$49:$K$61,'Equipamiento y listas'!$L$49:$L$61)</f>
        <v>0</v>
      </c>
      <c r="H163" s="62" t="e">
        <f>K92*LOOKUP("psi",'Equipamiento y listas'!$J$36:$J$48,'Equipamiento y listas'!$L$36:$L$48)*LOOKUP('Información general'!$N$37,'Equipamiento y listas'!$K$49:$K$61,'Equipamiento y listas'!$L$49:$L$61)</f>
        <v>#VALUE!</v>
      </c>
      <c r="I163" s="62" t="e">
        <f>L92*LOOKUP("psi",'Equipamiento y listas'!$J$36:$J$48,'Equipamiento y listas'!$L$36:$L$48)*LOOKUP('Información general'!$N$37,'Equipamiento y listas'!$K$49:$K$61,'Equipamiento y listas'!$L$49:$L$61)</f>
        <v>#VALUE!</v>
      </c>
    </row>
    <row r="164" spans="3:9" x14ac:dyDescent="0.2">
      <c r="C164" s="62" t="e">
        <f>IF(ISBLANK(A48),C163,D93*LOOKUP("psi",'Equipamiento y listas'!$J$36:$J$48,'Equipamiento y listas'!$L$36:$L$48)*LOOKUP('Información general'!$N$37,'Equipamiento y listas'!$K$49:$K$61,'Equipamiento y listas'!$L$49:$L$61))</f>
        <v>#DIV/0!</v>
      </c>
      <c r="D164" s="62">
        <f>IF(ISBLANK(A48),D163,G93*LOOKUP("psi",'Equipamiento y listas'!$J$36:$J$48,'Equipamiento y listas'!$L$36:$L$48)*LOOKUP('Información general'!$N$37,'Equipamiento y listas'!$K$49:$K$61,'Equipamiento y listas'!$L$49:$L$61))</f>
        <v>0</v>
      </c>
      <c r="E164" s="62">
        <f>IF(ISBLANK(A48),E163,H93*LOOKUP("psi",'Equipamiento y listas'!$J$36:$J$48,'Equipamiento y listas'!$L$36:$L$48)*LOOKUP('Información general'!$N$37,'Equipamiento y listas'!$K$49:$K$61,'Equipamiento y listas'!$L$49:$L$61))</f>
        <v>0</v>
      </c>
      <c r="F164" s="62">
        <f>IF(ISBLANK(A48),F163,I93*LOOKUP("psi",'Equipamiento y listas'!$J$36:$J$48,'Equipamiento y listas'!$L$36:$L$48)*LOOKUP('Información general'!$N$37,'Equipamiento y listas'!$K$49:$K$61,'Equipamiento y listas'!$L$49:$L$61))</f>
        <v>0</v>
      </c>
      <c r="G164" s="62">
        <f>IF(ISBLANK(A48),G163,J93*LOOKUP("psi",'Equipamiento y listas'!$J$36:$J$48,'Equipamiento y listas'!$L$36:$L$48)*LOOKUP('Información general'!$N$37,'Equipamiento y listas'!$K$49:$K$61,'Equipamiento y listas'!$L$49:$L$61))</f>
        <v>0</v>
      </c>
      <c r="H164" s="62" t="e">
        <f>IF(ISBLANK(A48),H163,K93*LOOKUP("psi",'Equipamiento y listas'!$J$36:$J$48,'Equipamiento y listas'!$L$36:$L$48)*LOOKUP('Información general'!$N$37,'Equipamiento y listas'!$K$49:$K$61,'Equipamiento y listas'!$L$49:$L$61))</f>
        <v>#VALUE!</v>
      </c>
      <c r="I164" s="62" t="e">
        <f>IF(ISBLANK(A48),I163,L93*LOOKUP("psi",'Equipamiento y listas'!$J$36:$J$48,'Equipamiento y listas'!$L$36:$L$48)*LOOKUP('Información general'!$N$37,'Equipamiento y listas'!$K$49:$K$61,'Equipamiento y listas'!$L$49:$L$61))</f>
        <v>#VALUE!</v>
      </c>
    </row>
    <row r="165" spans="3:9" x14ac:dyDescent="0.2">
      <c r="C165" s="62" t="e">
        <f>IF(ISBLANK(A49),C164,D94*LOOKUP("psi",'Equipamiento y listas'!$J$36:$J$48,'Equipamiento y listas'!$L$36:$L$48)*LOOKUP('Información general'!$N$37,'Equipamiento y listas'!$K$49:$K$61,'Equipamiento y listas'!$L$49:$L$61))</f>
        <v>#DIV/0!</v>
      </c>
      <c r="D165" s="62">
        <f>IF(ISBLANK(A49),D164,G94*LOOKUP("psi",'Equipamiento y listas'!$J$36:$J$48,'Equipamiento y listas'!$L$36:$L$48)*LOOKUP('Información general'!$N$37,'Equipamiento y listas'!$K$49:$K$61,'Equipamiento y listas'!$L$49:$L$61))</f>
        <v>0</v>
      </c>
      <c r="E165" s="62">
        <f>IF(ISBLANK(A49),E164,H94*LOOKUP("psi",'Equipamiento y listas'!$J$36:$J$48,'Equipamiento y listas'!$L$36:$L$48)*LOOKUP('Información general'!$N$37,'Equipamiento y listas'!$K$49:$K$61,'Equipamiento y listas'!$L$49:$L$61))</f>
        <v>0</v>
      </c>
      <c r="F165" s="62">
        <f>IF(ISBLANK(A49),F164,I94*LOOKUP("psi",'Equipamiento y listas'!$J$36:$J$48,'Equipamiento y listas'!$L$36:$L$48)*LOOKUP('Información general'!$N$37,'Equipamiento y listas'!$K$49:$K$61,'Equipamiento y listas'!$L$49:$L$61))</f>
        <v>0</v>
      </c>
      <c r="G165" s="62">
        <f>IF(ISBLANK(A49),G164,J94*LOOKUP("psi",'Equipamiento y listas'!$J$36:$J$48,'Equipamiento y listas'!$L$36:$L$48)*LOOKUP('Información general'!$N$37,'Equipamiento y listas'!$K$49:$K$61,'Equipamiento y listas'!$L$49:$L$61))</f>
        <v>0</v>
      </c>
      <c r="H165" s="62" t="e">
        <f>IF(ISBLANK(A49),H164,K94*LOOKUP("psi",'Equipamiento y listas'!$J$36:$J$48,'Equipamiento y listas'!$L$36:$L$48)*LOOKUP('Información general'!$N$37,'Equipamiento y listas'!$K$49:$K$61,'Equipamiento y listas'!$L$49:$L$61))</f>
        <v>#VALUE!</v>
      </c>
      <c r="I165" s="62" t="e">
        <f>IF(ISBLANK(A49),I164,L94*LOOKUP("psi",'Equipamiento y listas'!$J$36:$J$48,'Equipamiento y listas'!$L$36:$L$48)*LOOKUP('Información general'!$N$37,'Equipamiento y listas'!$K$49:$K$61,'Equipamiento y listas'!$L$49:$L$61))</f>
        <v>#VALUE!</v>
      </c>
    </row>
    <row r="166" spans="3:9" x14ac:dyDescent="0.2">
      <c r="C166" s="62" t="e">
        <f>IF(ISBLANK(A50),C165,D95*LOOKUP("psi",'Equipamiento y listas'!$J$36:$J$48,'Equipamiento y listas'!$L$36:$L$48)*LOOKUP('Información general'!$N$37,'Equipamiento y listas'!$K$49:$K$61,'Equipamiento y listas'!$L$49:$L$61))</f>
        <v>#DIV/0!</v>
      </c>
      <c r="D166" s="62">
        <f>IF(ISBLANK(A50),D165,G95*LOOKUP("psi",'Equipamiento y listas'!$J$36:$J$48,'Equipamiento y listas'!$L$36:$L$48)*LOOKUP('Información general'!$N$37,'Equipamiento y listas'!$K$49:$K$61,'Equipamiento y listas'!$L$49:$L$61))</f>
        <v>0</v>
      </c>
      <c r="E166" s="62">
        <f>IF(ISBLANK(A50),E165,H95*LOOKUP("psi",'Equipamiento y listas'!$J$36:$J$48,'Equipamiento y listas'!$L$36:$L$48)*LOOKUP('Información general'!$N$37,'Equipamiento y listas'!$K$49:$K$61,'Equipamiento y listas'!$L$49:$L$61))</f>
        <v>0</v>
      </c>
      <c r="F166" s="62">
        <f>IF(ISBLANK(A50),F165,I95*LOOKUP("psi",'Equipamiento y listas'!$J$36:$J$48,'Equipamiento y listas'!$L$36:$L$48)*LOOKUP('Información general'!$N$37,'Equipamiento y listas'!$K$49:$K$61,'Equipamiento y listas'!$L$49:$L$61))</f>
        <v>0</v>
      </c>
      <c r="G166" s="62">
        <f>IF(ISBLANK(A50),G165,J95*LOOKUP("psi",'Equipamiento y listas'!$J$36:$J$48,'Equipamiento y listas'!$L$36:$L$48)*LOOKUP('Información general'!$N$37,'Equipamiento y listas'!$K$49:$K$61,'Equipamiento y listas'!$L$49:$L$61))</f>
        <v>0</v>
      </c>
      <c r="H166" s="62" t="e">
        <f>IF(ISBLANK(A50),H165,K95*LOOKUP("psi",'Equipamiento y listas'!$J$36:$J$48,'Equipamiento y listas'!$L$36:$L$48)*LOOKUP('Información general'!$N$37,'Equipamiento y listas'!$K$49:$K$61,'Equipamiento y listas'!$L$49:$L$61))</f>
        <v>#VALUE!</v>
      </c>
      <c r="I166" s="62" t="e">
        <f>IF(ISBLANK(A50),I165,L95*LOOKUP("psi",'Equipamiento y listas'!$J$36:$J$48,'Equipamiento y listas'!$L$36:$L$48)*LOOKUP('Información general'!$N$37,'Equipamiento y listas'!$K$49:$K$61,'Equipamiento y listas'!$L$49:$L$61))</f>
        <v>#VALUE!</v>
      </c>
    </row>
    <row r="167" spans="3:9" x14ac:dyDescent="0.2">
      <c r="C167" s="62" t="e">
        <f>IF(ISBLANK(A51),C166,D96*LOOKUP("psi",'Equipamiento y listas'!$J$36:$J$48,'Equipamiento y listas'!$L$36:$L$48)*LOOKUP('Información general'!$N$37,'Equipamiento y listas'!$K$49:$K$61,'Equipamiento y listas'!$L$49:$L$61))</f>
        <v>#DIV/0!</v>
      </c>
      <c r="D167" s="62">
        <f>IF(ISBLANK(A51),D166,G96*LOOKUP("psi",'Equipamiento y listas'!$J$36:$J$48,'Equipamiento y listas'!$L$36:$L$48)*LOOKUP('Información general'!$N$37,'Equipamiento y listas'!$K$49:$K$61,'Equipamiento y listas'!$L$49:$L$61))</f>
        <v>0</v>
      </c>
      <c r="E167" s="62">
        <f>IF(ISBLANK(A51),E166,H96*LOOKUP("psi",'Equipamiento y listas'!$J$36:$J$48,'Equipamiento y listas'!$L$36:$L$48)*LOOKUP('Información general'!$N$37,'Equipamiento y listas'!$K$49:$K$61,'Equipamiento y listas'!$L$49:$L$61))</f>
        <v>0</v>
      </c>
      <c r="F167" s="62">
        <f>IF(ISBLANK(A51),F166,I96*LOOKUP("psi",'Equipamiento y listas'!$J$36:$J$48,'Equipamiento y listas'!$L$36:$L$48)*LOOKUP('Información general'!$N$37,'Equipamiento y listas'!$K$49:$K$61,'Equipamiento y listas'!$L$49:$L$61))</f>
        <v>0</v>
      </c>
      <c r="G167" s="62">
        <f>IF(ISBLANK(A51),G166,J96*LOOKUP("psi",'Equipamiento y listas'!$J$36:$J$48,'Equipamiento y listas'!$L$36:$L$48)*LOOKUP('Información general'!$N$37,'Equipamiento y listas'!$K$49:$K$61,'Equipamiento y listas'!$L$49:$L$61))</f>
        <v>0</v>
      </c>
      <c r="H167" s="62" t="e">
        <f>IF(ISBLANK(A51),H166,K96*LOOKUP("psi",'Equipamiento y listas'!$J$36:$J$48,'Equipamiento y listas'!$L$36:$L$48)*LOOKUP('Información general'!$N$37,'Equipamiento y listas'!$K$49:$K$61,'Equipamiento y listas'!$L$49:$L$61))</f>
        <v>#VALUE!</v>
      </c>
      <c r="I167" s="62" t="e">
        <f>IF(ISBLANK(A51),I166,L96*LOOKUP("psi",'Equipamiento y listas'!$J$36:$J$48,'Equipamiento y listas'!$L$36:$L$48)*LOOKUP('Información general'!$N$37,'Equipamiento y listas'!$K$49:$K$61,'Equipamiento y listas'!$L$49:$L$61))</f>
        <v>#VALUE!</v>
      </c>
    </row>
    <row r="168" spans="3:9" x14ac:dyDescent="0.2">
      <c r="C168" s="62" t="e">
        <f>IF(ISBLANK(A52),C167,D97*LOOKUP("psi",'Equipamiento y listas'!$J$36:$J$48,'Equipamiento y listas'!$L$36:$L$48)*LOOKUP('Información general'!$N$37,'Equipamiento y listas'!$K$49:$K$61,'Equipamiento y listas'!$L$49:$L$61))</f>
        <v>#DIV/0!</v>
      </c>
      <c r="D168" s="62">
        <f>IF(ISBLANK(A52),D167,G97*LOOKUP("psi",'Equipamiento y listas'!$J$36:$J$48,'Equipamiento y listas'!$L$36:$L$48)*LOOKUP('Información general'!$N$37,'Equipamiento y listas'!$K$49:$K$61,'Equipamiento y listas'!$L$49:$L$61))</f>
        <v>0</v>
      </c>
      <c r="E168" s="62">
        <f>IF(ISBLANK(A52),E167,H97*LOOKUP("psi",'Equipamiento y listas'!$J$36:$J$48,'Equipamiento y listas'!$L$36:$L$48)*LOOKUP('Información general'!$N$37,'Equipamiento y listas'!$K$49:$K$61,'Equipamiento y listas'!$L$49:$L$61))</f>
        <v>0</v>
      </c>
      <c r="F168" s="62">
        <f>IF(ISBLANK(A52),F167,I97*LOOKUP("psi",'Equipamiento y listas'!$J$36:$J$48,'Equipamiento y listas'!$L$36:$L$48)*LOOKUP('Información general'!$N$37,'Equipamiento y listas'!$K$49:$K$61,'Equipamiento y listas'!$L$49:$L$61))</f>
        <v>0</v>
      </c>
      <c r="G168" s="62">
        <f>IF(ISBLANK(A52),G167,J97*LOOKUP("psi",'Equipamiento y listas'!$J$36:$J$48,'Equipamiento y listas'!$L$36:$L$48)*LOOKUP('Información general'!$N$37,'Equipamiento y listas'!$K$49:$K$61,'Equipamiento y listas'!$L$49:$L$61))</f>
        <v>0</v>
      </c>
      <c r="H168" s="62" t="e">
        <f>IF(ISBLANK(A52),H167,K97*LOOKUP("psi",'Equipamiento y listas'!$J$36:$J$48,'Equipamiento y listas'!$L$36:$L$48)*LOOKUP('Información general'!$N$37,'Equipamiento y listas'!$K$49:$K$61,'Equipamiento y listas'!$L$49:$L$61))</f>
        <v>#VALUE!</v>
      </c>
      <c r="I168" s="62" t="e">
        <f>IF(ISBLANK(A52),I167,L97*LOOKUP("psi",'Equipamiento y listas'!$J$36:$J$48,'Equipamiento y listas'!$L$36:$L$48)*LOOKUP('Información general'!$N$37,'Equipamiento y listas'!$K$49:$K$61,'Equipamiento y listas'!$L$49:$L$61))</f>
        <v>#VALUE!</v>
      </c>
    </row>
    <row r="169" spans="3:9" x14ac:dyDescent="0.2">
      <c r="C169" s="62" t="e">
        <f>IF(ISBLANK(A53),C168,D98*LOOKUP("psi",'Equipamiento y listas'!$J$36:$J$48,'Equipamiento y listas'!$L$36:$L$48)*LOOKUP('Información general'!$N$37,'Equipamiento y listas'!$K$49:$K$61,'Equipamiento y listas'!$L$49:$L$61))</f>
        <v>#DIV/0!</v>
      </c>
      <c r="D169" s="62">
        <f>IF(ISBLANK(A53),D168,G98*LOOKUP("psi",'Equipamiento y listas'!$J$36:$J$48,'Equipamiento y listas'!$L$36:$L$48)*LOOKUP('Información general'!$N$37,'Equipamiento y listas'!$K$49:$K$61,'Equipamiento y listas'!$L$49:$L$61))</f>
        <v>0</v>
      </c>
      <c r="E169" s="62">
        <f>IF(ISBLANK(A53),E168,H98*LOOKUP("psi",'Equipamiento y listas'!$J$36:$J$48,'Equipamiento y listas'!$L$36:$L$48)*LOOKUP('Información general'!$N$37,'Equipamiento y listas'!$K$49:$K$61,'Equipamiento y listas'!$L$49:$L$61))</f>
        <v>0</v>
      </c>
      <c r="F169" s="62">
        <f>IF(ISBLANK(A53),F168,I98*LOOKUP("psi",'Equipamiento y listas'!$J$36:$J$48,'Equipamiento y listas'!$L$36:$L$48)*LOOKUP('Información general'!$N$37,'Equipamiento y listas'!$K$49:$K$61,'Equipamiento y listas'!$L$49:$L$61))</f>
        <v>0</v>
      </c>
      <c r="G169" s="62">
        <f>IF(ISBLANK(A53),G168,J98*LOOKUP("psi",'Equipamiento y listas'!$J$36:$J$48,'Equipamiento y listas'!$L$36:$L$48)*LOOKUP('Información general'!$N$37,'Equipamiento y listas'!$K$49:$K$61,'Equipamiento y listas'!$L$49:$L$61))</f>
        <v>0</v>
      </c>
      <c r="H169" s="62" t="e">
        <f>IF(ISBLANK(A53),H168,K98*LOOKUP("psi",'Equipamiento y listas'!$J$36:$J$48,'Equipamiento y listas'!$L$36:$L$48)*LOOKUP('Información general'!$N$37,'Equipamiento y listas'!$K$49:$K$61,'Equipamiento y listas'!$L$49:$L$61))</f>
        <v>#VALUE!</v>
      </c>
      <c r="I169" s="62" t="e">
        <f>IF(ISBLANK(A53),I168,L98*LOOKUP("psi",'Equipamiento y listas'!$J$36:$J$48,'Equipamiento y listas'!$L$36:$L$48)*LOOKUP('Información general'!$N$37,'Equipamiento y listas'!$K$49:$K$61,'Equipamiento y listas'!$L$49:$L$61))</f>
        <v>#VALUE!</v>
      </c>
    </row>
    <row r="170" spans="3:9" x14ac:dyDescent="0.2">
      <c r="C170" s="62" t="e">
        <f>IF(ISBLANK(A54),C169,D99*LOOKUP("psi",'Equipamiento y listas'!$J$36:$J$48,'Equipamiento y listas'!$L$36:$L$48)*LOOKUP('Información general'!$N$37,'Equipamiento y listas'!$K$49:$K$61,'Equipamiento y listas'!$L$49:$L$61))</f>
        <v>#DIV/0!</v>
      </c>
      <c r="D170" s="62">
        <f>IF(ISBLANK(A54),D169,G99*LOOKUP("psi",'Equipamiento y listas'!$J$36:$J$48,'Equipamiento y listas'!$L$36:$L$48)*LOOKUP('Información general'!$N$37,'Equipamiento y listas'!$K$49:$K$61,'Equipamiento y listas'!$L$49:$L$61))</f>
        <v>0</v>
      </c>
      <c r="E170" s="62">
        <f>IF(ISBLANK(A54),E169,H99*LOOKUP("psi",'Equipamiento y listas'!$J$36:$J$48,'Equipamiento y listas'!$L$36:$L$48)*LOOKUP('Información general'!$N$37,'Equipamiento y listas'!$K$49:$K$61,'Equipamiento y listas'!$L$49:$L$61))</f>
        <v>0</v>
      </c>
      <c r="F170" s="62">
        <f>IF(ISBLANK(A54),F169,I99*LOOKUP("psi",'Equipamiento y listas'!$J$36:$J$48,'Equipamiento y listas'!$L$36:$L$48)*LOOKUP('Información general'!$N$37,'Equipamiento y listas'!$K$49:$K$61,'Equipamiento y listas'!$L$49:$L$61))</f>
        <v>0</v>
      </c>
      <c r="G170" s="62">
        <f>IF(ISBLANK(A54),G169,J99*LOOKUP("psi",'Equipamiento y listas'!$J$36:$J$48,'Equipamiento y listas'!$L$36:$L$48)*LOOKUP('Información general'!$N$37,'Equipamiento y listas'!$K$49:$K$61,'Equipamiento y listas'!$L$49:$L$61))</f>
        <v>0</v>
      </c>
      <c r="H170" s="62" t="e">
        <f>IF(ISBLANK(A54),H169,K99*LOOKUP("psi",'Equipamiento y listas'!$J$36:$J$48,'Equipamiento y listas'!$L$36:$L$48)*LOOKUP('Información general'!$N$37,'Equipamiento y listas'!$K$49:$K$61,'Equipamiento y listas'!$L$49:$L$61))</f>
        <v>#VALUE!</v>
      </c>
      <c r="I170" s="62" t="e">
        <f>IF(ISBLANK(A54),I169,L99*LOOKUP("psi",'Equipamiento y listas'!$J$36:$J$48,'Equipamiento y listas'!$L$36:$L$48)*LOOKUP('Información general'!$N$37,'Equipamiento y listas'!$K$49:$K$61,'Equipamiento y listas'!$L$49:$L$61))</f>
        <v>#VALUE!</v>
      </c>
    </row>
    <row r="171" spans="3:9" x14ac:dyDescent="0.2">
      <c r="C171" s="62" t="e">
        <f>IF(ISBLANK(A55),C170,D100*LOOKUP("psi",'Equipamiento y listas'!$J$36:$J$48,'Equipamiento y listas'!$L$36:$L$48)*LOOKUP('Información general'!$N$37,'Equipamiento y listas'!$K$49:$K$61,'Equipamiento y listas'!$L$49:$L$61))</f>
        <v>#DIV/0!</v>
      </c>
      <c r="D171" s="62">
        <f>IF(ISBLANK(A55),D170,G100*LOOKUP("psi",'Equipamiento y listas'!$J$36:$J$48,'Equipamiento y listas'!$L$36:$L$48)*LOOKUP('Información general'!$N$37,'Equipamiento y listas'!$K$49:$K$61,'Equipamiento y listas'!$L$49:$L$61))</f>
        <v>0</v>
      </c>
      <c r="E171" s="62">
        <f>IF(ISBLANK(A55),E170,H100*LOOKUP("psi",'Equipamiento y listas'!$J$36:$J$48,'Equipamiento y listas'!$L$36:$L$48)*LOOKUP('Información general'!$N$37,'Equipamiento y listas'!$K$49:$K$61,'Equipamiento y listas'!$L$49:$L$61))</f>
        <v>0</v>
      </c>
      <c r="F171" s="62">
        <f>IF(ISBLANK(A55),F170,I100*LOOKUP("psi",'Equipamiento y listas'!$J$36:$J$48,'Equipamiento y listas'!$L$36:$L$48)*LOOKUP('Información general'!$N$37,'Equipamiento y listas'!$K$49:$K$61,'Equipamiento y listas'!$L$49:$L$61))</f>
        <v>0</v>
      </c>
      <c r="G171" s="62">
        <f>IF(ISBLANK(A55),G170,J100*LOOKUP("psi",'Equipamiento y listas'!$J$36:$J$48,'Equipamiento y listas'!$L$36:$L$48)*LOOKUP('Información general'!$N$37,'Equipamiento y listas'!$K$49:$K$61,'Equipamiento y listas'!$L$49:$L$61))</f>
        <v>0</v>
      </c>
      <c r="H171" s="62" t="e">
        <f>IF(ISBLANK(A55),H170,K100*LOOKUP("psi",'Equipamiento y listas'!$J$36:$J$48,'Equipamiento y listas'!$L$36:$L$48)*LOOKUP('Información general'!$N$37,'Equipamiento y listas'!$K$49:$K$61,'Equipamiento y listas'!$L$49:$L$61))</f>
        <v>#VALUE!</v>
      </c>
      <c r="I171" s="62" t="e">
        <f>IF(ISBLANK(A55),I170,L100*LOOKUP("psi",'Equipamiento y listas'!$J$36:$J$48,'Equipamiento y listas'!$L$36:$L$48)*LOOKUP('Información general'!$N$37,'Equipamiento y listas'!$K$49:$K$61,'Equipamiento y listas'!$L$49:$L$61))</f>
        <v>#VALUE!</v>
      </c>
    </row>
    <row r="172" spans="3:9" x14ac:dyDescent="0.2">
      <c r="C172" s="62" t="e">
        <f>IF(ISBLANK(A56),C171,D101*LOOKUP("psi",'Equipamiento y listas'!$J$36:$J$48,'Equipamiento y listas'!$L$36:$L$48)*LOOKUP('Información general'!$N$37,'Equipamiento y listas'!$K$49:$K$61,'Equipamiento y listas'!$L$49:$L$61))</f>
        <v>#DIV/0!</v>
      </c>
      <c r="D172" s="62">
        <f>IF(ISBLANK(A56),D171,G101*LOOKUP("psi",'Equipamiento y listas'!$J$36:$J$48,'Equipamiento y listas'!$L$36:$L$48)*LOOKUP('Información general'!$N$37,'Equipamiento y listas'!$K$49:$K$61,'Equipamiento y listas'!$L$49:$L$61))</f>
        <v>0</v>
      </c>
      <c r="E172" s="62">
        <f>IF(ISBLANK(A56),E171,H101*LOOKUP("psi",'Equipamiento y listas'!$J$36:$J$48,'Equipamiento y listas'!$L$36:$L$48)*LOOKUP('Información general'!$N$37,'Equipamiento y listas'!$K$49:$K$61,'Equipamiento y listas'!$L$49:$L$61))</f>
        <v>0</v>
      </c>
      <c r="F172" s="62">
        <f>IF(ISBLANK(A56),F171,I101*LOOKUP("psi",'Equipamiento y listas'!$J$36:$J$48,'Equipamiento y listas'!$L$36:$L$48)*LOOKUP('Información general'!$N$37,'Equipamiento y listas'!$K$49:$K$61,'Equipamiento y listas'!$L$49:$L$61))</f>
        <v>0</v>
      </c>
      <c r="G172" s="62">
        <f>IF(ISBLANK(A56),G171,J101*LOOKUP("psi",'Equipamiento y listas'!$J$36:$J$48,'Equipamiento y listas'!$L$36:$L$48)*LOOKUP('Información general'!$N$37,'Equipamiento y listas'!$K$49:$K$61,'Equipamiento y listas'!$L$49:$L$61))</f>
        <v>0</v>
      </c>
      <c r="H172" s="62" t="e">
        <f>IF(ISBLANK(A56),H171,K101*LOOKUP("psi",'Equipamiento y listas'!$J$36:$J$48,'Equipamiento y listas'!$L$36:$L$48)*LOOKUP('Información general'!$N$37,'Equipamiento y listas'!$K$49:$K$61,'Equipamiento y listas'!$L$49:$L$61))</f>
        <v>#VALUE!</v>
      </c>
      <c r="I172" s="62" t="e">
        <f>IF(ISBLANK(A56),I171,L101*LOOKUP("psi",'Equipamiento y listas'!$J$36:$J$48,'Equipamiento y listas'!$L$36:$L$48)*LOOKUP('Información general'!$N$37,'Equipamiento y listas'!$K$49:$K$61,'Equipamiento y listas'!$L$49:$L$61))</f>
        <v>#VALUE!</v>
      </c>
    </row>
    <row r="210" spans="1:13" ht="24.95" customHeight="1" x14ac:dyDescent="0.2">
      <c r="A210" s="234" t="s">
        <v>434</v>
      </c>
      <c r="B210" s="234"/>
      <c r="C210" s="234"/>
      <c r="D210" s="234"/>
      <c r="E210" s="234"/>
      <c r="F210" s="234"/>
      <c r="G210" s="234"/>
      <c r="H210" s="234"/>
      <c r="I210" s="234"/>
      <c r="J210" s="234"/>
      <c r="K210" s="234"/>
      <c r="L210" s="234"/>
      <c r="M210" s="234"/>
    </row>
    <row r="212" spans="1:13" x14ac:dyDescent="0.2">
      <c r="B212" s="314" t="s">
        <v>433</v>
      </c>
      <c r="C212" s="314"/>
      <c r="D212" s="314"/>
      <c r="E212" s="334" t="s">
        <v>285</v>
      </c>
      <c r="F212" s="334"/>
      <c r="G212" s="334"/>
      <c r="H212" s="315" t="s">
        <v>286</v>
      </c>
      <c r="I212" s="334"/>
      <c r="J212" s="334"/>
      <c r="K212" s="334"/>
      <c r="L212" s="334"/>
    </row>
    <row r="213" spans="1:13" x14ac:dyDescent="0.2">
      <c r="B213" s="314"/>
      <c r="C213" s="314"/>
      <c r="D213" s="314"/>
      <c r="E213" s="334"/>
      <c r="F213" s="334"/>
      <c r="G213" s="334"/>
      <c r="H213" s="315"/>
      <c r="I213" s="334"/>
      <c r="J213" s="334"/>
      <c r="K213" s="334"/>
      <c r="L213" s="334"/>
    </row>
    <row r="214" spans="1:13" ht="18.75" x14ac:dyDescent="0.35">
      <c r="B214" s="314"/>
      <c r="C214" s="314"/>
      <c r="D214" s="314"/>
      <c r="E214" s="180" t="s">
        <v>481</v>
      </c>
      <c r="F214" s="150">
        <v>0.34848000000000001</v>
      </c>
      <c r="G214" s="150" t="s">
        <v>482</v>
      </c>
      <c r="H214" s="335" t="s">
        <v>287</v>
      </c>
      <c r="I214" s="335"/>
      <c r="J214" s="335"/>
      <c r="K214" s="335"/>
      <c r="L214" s="181" t="e">
        <f>AVERAGE(E66,E105)</f>
        <v>#DIV/0!</v>
      </c>
    </row>
    <row r="215" spans="1:13" ht="18.75" x14ac:dyDescent="0.35">
      <c r="B215" s="331" t="e">
        <f>(F214*L216-F215*L215*EXP(F216*L214))/(273.15+L214)</f>
        <v>#DIV/0!</v>
      </c>
      <c r="C215" s="332"/>
      <c r="D215" s="182" t="s">
        <v>483</v>
      </c>
      <c r="E215" s="180" t="s">
        <v>484</v>
      </c>
      <c r="F215" s="150">
        <v>8.9999999999999993E-3</v>
      </c>
      <c r="G215" s="150">
        <v>1</v>
      </c>
      <c r="H215" s="335" t="s">
        <v>288</v>
      </c>
      <c r="I215" s="335"/>
      <c r="J215" s="335"/>
      <c r="K215" s="335"/>
      <c r="L215" s="181" t="e">
        <f>AVERAGE(K66,K105)</f>
        <v>#DIV/0!</v>
      </c>
    </row>
    <row r="216" spans="1:13" ht="18.75" x14ac:dyDescent="0.35">
      <c r="B216" s="331" t="e">
        <f>B215/1000</f>
        <v>#DIV/0!</v>
      </c>
      <c r="C216" s="332"/>
      <c r="D216" s="183" t="s">
        <v>485</v>
      </c>
      <c r="E216" s="184" t="s">
        <v>486</v>
      </c>
      <c r="F216" s="150">
        <v>6.0999999999999999E-2</v>
      </c>
      <c r="G216" s="150" t="s">
        <v>487</v>
      </c>
      <c r="H216" s="333" t="s">
        <v>289</v>
      </c>
      <c r="I216" s="333"/>
      <c r="J216" s="333"/>
      <c r="K216" s="333"/>
      <c r="L216" s="150">
        <f>'Información general'!L55</f>
        <v>0</v>
      </c>
    </row>
    <row r="218" spans="1:13" ht="24.95" customHeight="1" x14ac:dyDescent="0.2">
      <c r="A218" s="234" t="s">
        <v>435</v>
      </c>
      <c r="B218" s="234"/>
      <c r="C218" s="234"/>
      <c r="D218" s="234"/>
      <c r="E218" s="234"/>
      <c r="F218" s="234"/>
      <c r="G218" s="234"/>
      <c r="H218" s="234"/>
      <c r="I218" s="234"/>
      <c r="J218" s="234"/>
      <c r="K218" s="234"/>
      <c r="L218" s="234"/>
      <c r="M218" s="234"/>
    </row>
    <row r="220" spans="1:13" x14ac:dyDescent="0.2">
      <c r="B220" s="383" t="s">
        <v>285</v>
      </c>
      <c r="C220" s="364"/>
      <c r="D220" s="364"/>
      <c r="E220" s="318" t="s">
        <v>173</v>
      </c>
      <c r="F220" s="318"/>
      <c r="G220" s="318" t="s">
        <v>284</v>
      </c>
      <c r="H220" s="318"/>
      <c r="I220" s="318" t="s">
        <v>173</v>
      </c>
      <c r="J220" s="318"/>
      <c r="K220" s="318" t="s">
        <v>284</v>
      </c>
      <c r="L220" s="329"/>
    </row>
    <row r="221" spans="1:13" x14ac:dyDescent="0.2">
      <c r="B221" s="383"/>
      <c r="C221" s="364"/>
      <c r="D221" s="364"/>
      <c r="E221" s="318"/>
      <c r="F221" s="318"/>
      <c r="G221" s="318"/>
      <c r="H221" s="318"/>
      <c r="I221" s="318"/>
      <c r="J221" s="318"/>
      <c r="K221" s="318"/>
      <c r="L221" s="329"/>
    </row>
    <row r="222" spans="1:13" x14ac:dyDescent="0.2">
      <c r="B222" s="274"/>
      <c r="C222" s="275"/>
      <c r="D222" s="275"/>
      <c r="E222" s="319"/>
      <c r="F222" s="319"/>
      <c r="G222" s="319"/>
      <c r="H222" s="319"/>
      <c r="I222" s="319"/>
      <c r="J222" s="319"/>
      <c r="K222" s="319"/>
      <c r="L222" s="330"/>
    </row>
    <row r="223" spans="1:13" ht="17.45" customHeight="1" x14ac:dyDescent="0.2">
      <c r="B223" s="185" t="s">
        <v>436</v>
      </c>
      <c r="C223" s="186">
        <v>0.225189</v>
      </c>
      <c r="D223" s="187" t="s">
        <v>488</v>
      </c>
      <c r="E223" s="328" t="str">
        <f>_xlfn.CONCAT("Indicación ",B92," ",'Información general'!$N$37)</f>
        <v>Indicación 0 psi</v>
      </c>
      <c r="F223" s="327"/>
      <c r="G223" s="188" t="e">
        <f>$C$225*C92*LOOKUP('Información general'!$N$37,'Equipamiento y listas'!$J$36:$J$48,'Equipamiento y listas'!$L$36:$L$48)/(($C$227*(273.15+$L$214)/(1-$C$224/$C$226))-($C$223/(($C$224+$C$226)*SQRT(273.15+$L$214))))</f>
        <v>#DIV/0!</v>
      </c>
      <c r="H223" s="187" t="s">
        <v>489</v>
      </c>
      <c r="I223" s="328" t="str">
        <f>_xlfn.CONCAT("Indicación ",B97," ",'Información general'!$N$37)</f>
        <v>Indicación 0 psi</v>
      </c>
      <c r="J223" s="327"/>
      <c r="K223" s="188" t="e">
        <f>$C$225*C97*LOOKUP('Información general'!$N$37,'Equipamiento y listas'!$J$36:$J$48,'Equipamiento y listas'!$L$36:$L$48)/(($C$227*(273.15+$L$214)/(1-$C$224/$C$226))-($C$223/(($C$224+$C$226)*SQRT(273.15+$L$214))))</f>
        <v>#DIV/0!</v>
      </c>
      <c r="L223" s="144" t="s">
        <v>489</v>
      </c>
    </row>
    <row r="224" spans="1:13" ht="17.45" customHeight="1" x14ac:dyDescent="0.2">
      <c r="B224" s="189" t="s">
        <v>437</v>
      </c>
      <c r="C224" s="190">
        <v>1.7799999999999999E-4</v>
      </c>
      <c r="D224" s="191" t="s">
        <v>490</v>
      </c>
      <c r="E224" s="328" t="str">
        <f>_xlfn.CONCAT("Indicación ",B93," ",'Información general'!$N$37)</f>
        <v>Indicación 0 psi</v>
      </c>
      <c r="F224" s="327"/>
      <c r="G224" s="188" t="e">
        <f>$C$225*C93*LOOKUP('Información general'!$N$37,'Equipamiento y listas'!$J$36:$J$48,'Equipamiento y listas'!$L$36:$L$48)/(($C$227*(273.15+$L$214)/(1-$C$224/$C$226))-($C$223/(($C$224+$C$226)*SQRT(273.15+$L$214))))</f>
        <v>#DIV/0!</v>
      </c>
      <c r="H224" s="191" t="s">
        <v>489</v>
      </c>
      <c r="I224" s="328" t="str">
        <f>_xlfn.CONCAT("Indicación ",B98," ",'Información general'!$N$37)</f>
        <v>Indicación 0 psi</v>
      </c>
      <c r="J224" s="327"/>
      <c r="K224" s="188" t="e">
        <f>$C$225*C98*LOOKUP('Información general'!$N$37,'Equipamiento y listas'!$J$36:$J$48,'Equipamiento y listas'!$L$36:$L$48)/(($C$227*(273.15+$L$214)/(1-$C$224/$C$226))-($C$223/(($C$224+$C$226)*SQRT(273.15+$L$214))))</f>
        <v>#DIV/0!</v>
      </c>
      <c r="L224" s="149" t="s">
        <v>489</v>
      </c>
    </row>
    <row r="225" spans="2:12" ht="17.45" customHeight="1" x14ac:dyDescent="0.2">
      <c r="B225" s="189" t="s">
        <v>491</v>
      </c>
      <c r="C225" s="190">
        <v>2.896E-2</v>
      </c>
      <c r="D225" s="191" t="s">
        <v>439</v>
      </c>
      <c r="E225" s="328" t="str">
        <f>_xlfn.CONCAT("Indicación ",B94," ",'Información general'!$N$37)</f>
        <v>Indicación 0 psi</v>
      </c>
      <c r="F225" s="327"/>
      <c r="G225" s="188" t="e">
        <f>$C$225*C94*LOOKUP('Información general'!$N$37,'Equipamiento y listas'!$J$36:$J$48,'Equipamiento y listas'!$L$36:$L$48)/(($C$227*(273.15+$L$214)/(1-$C$224/$C$226))-($C$223/(($C$224+$C$226)*SQRT(273.15+$L$214))))</f>
        <v>#DIV/0!</v>
      </c>
      <c r="H225" s="191" t="s">
        <v>489</v>
      </c>
      <c r="I225" s="328" t="str">
        <f>_xlfn.CONCAT("Indicación ",B99," ",'Información general'!$N$37)</f>
        <v>Indicación 0 psi</v>
      </c>
      <c r="J225" s="327"/>
      <c r="K225" s="188" t="e">
        <f>$C$225*C99*LOOKUP('Información general'!$N$37,'Equipamiento y listas'!$J$36:$J$48,'Equipamiento y listas'!$L$36:$L$48)/(($C$227*(273.15+$L$214)/(1-$C$224/$C$226))-($C$223/(($C$224+$C$226)*SQRT(273.15+$L$214))))</f>
        <v>#DIV/0!</v>
      </c>
      <c r="L225" s="149" t="s">
        <v>489</v>
      </c>
    </row>
    <row r="226" spans="2:12" ht="17.45" customHeight="1" x14ac:dyDescent="0.2">
      <c r="B226" s="189" t="s">
        <v>492</v>
      </c>
      <c r="C226" s="190">
        <v>2.3999999999999998E-3</v>
      </c>
      <c r="D226" s="191" t="s">
        <v>490</v>
      </c>
      <c r="E226" s="328" t="str">
        <f>_xlfn.CONCAT("Indicación ",B95," ",'Información general'!$N$37)</f>
        <v>Indicación 0 psi</v>
      </c>
      <c r="F226" s="327"/>
      <c r="G226" s="188" t="e">
        <f>$C$225*C95*LOOKUP('Información general'!$N$37,'Equipamiento y listas'!$J$36:$J$48,'Equipamiento y listas'!$L$36:$L$48)/(($C$227*(273.15+$L$214)/(1-$C$224/$C$226))-($C$223/(($C$224+$C$226)*SQRT(273.15+$L$214))))</f>
        <v>#DIV/0!</v>
      </c>
      <c r="H226" s="191" t="s">
        <v>489</v>
      </c>
      <c r="I226" s="328" t="str">
        <f>_xlfn.CONCAT("Indicación ",B100," ",'Información general'!$N$37)</f>
        <v>Indicación 0 psi</v>
      </c>
      <c r="J226" s="327"/>
      <c r="K226" s="188" t="e">
        <f>$C$225*C100*LOOKUP('Información general'!$N$37,'Equipamiento y listas'!$J$36:$J$48,'Equipamiento y listas'!$L$36:$L$48)/(($C$227*(273.15+$L$214)/(1-$C$224/$C$226))-($C$223/(($C$224+$C$226)*SQRT(273.15+$L$214))))</f>
        <v>#DIV/0!</v>
      </c>
      <c r="L226" s="149" t="s">
        <v>489</v>
      </c>
    </row>
    <row r="227" spans="2:12" ht="17.45" customHeight="1" x14ac:dyDescent="0.2">
      <c r="B227" s="192" t="s">
        <v>438</v>
      </c>
      <c r="C227" s="190">
        <v>8.3144720000000003</v>
      </c>
      <c r="D227" s="191" t="s">
        <v>493</v>
      </c>
      <c r="E227" s="299" t="str">
        <f>_xlfn.CONCAT("Indicación ",B96," ",'Información general'!$N$37)</f>
        <v>Indicación 0 psi</v>
      </c>
      <c r="F227" s="298"/>
      <c r="G227" s="188" t="e">
        <f>$C$225*C96*LOOKUP('Información general'!$N$37,'Equipamiento y listas'!$J$36:$J$48,'Equipamiento y listas'!$L$36:$L$48)/(($C$227*(273.15+$L$214)/(1-$C$224/$C$226))-($C$223/(($C$224+$C$226)*SQRT(273.15+$L$214))))</f>
        <v>#DIV/0!</v>
      </c>
      <c r="H227" s="191" t="s">
        <v>489</v>
      </c>
      <c r="I227" s="299" t="str">
        <f>_xlfn.CONCAT("Indicación ",B101," ",'Información general'!$N$37)</f>
        <v>Indicación 0 psi</v>
      </c>
      <c r="J227" s="298"/>
      <c r="K227" s="188" t="e">
        <f>$C$225*C101*LOOKUP('Información general'!$N$37,'Equipamiento y listas'!$J$36:$J$48,'Equipamiento y listas'!$L$36:$L$48)/(($C$227*(273.15+$L$214)/(1-$C$224/$C$226))-($C$223/(($C$224+$C$226)*SQRT(273.15+$L$214))))</f>
        <v>#DIV/0!</v>
      </c>
      <c r="L227" s="149" t="s">
        <v>489</v>
      </c>
    </row>
    <row r="229" spans="2:12" x14ac:dyDescent="0.2">
      <c r="B229" s="378" t="s">
        <v>285</v>
      </c>
      <c r="C229" s="364"/>
      <c r="D229" s="364"/>
      <c r="E229" s="381" t="s">
        <v>173</v>
      </c>
      <c r="F229" s="318"/>
      <c r="G229" s="318" t="s">
        <v>290</v>
      </c>
      <c r="H229" s="318"/>
      <c r="I229" s="318" t="s">
        <v>173</v>
      </c>
      <c r="J229" s="318"/>
      <c r="K229" s="320" t="s">
        <v>290</v>
      </c>
      <c r="L229" s="321"/>
    </row>
    <row r="230" spans="2:12" x14ac:dyDescent="0.2">
      <c r="B230" s="378"/>
      <c r="C230" s="364"/>
      <c r="D230" s="364"/>
      <c r="E230" s="381"/>
      <c r="F230" s="318"/>
      <c r="G230" s="318"/>
      <c r="H230" s="318"/>
      <c r="I230" s="318"/>
      <c r="J230" s="318"/>
      <c r="K230" s="322"/>
      <c r="L230" s="323"/>
    </row>
    <row r="231" spans="2:12" x14ac:dyDescent="0.2">
      <c r="B231" s="379"/>
      <c r="C231" s="380"/>
      <c r="D231" s="380"/>
      <c r="E231" s="382"/>
      <c r="F231" s="319"/>
      <c r="G231" s="319"/>
      <c r="H231" s="319"/>
      <c r="I231" s="319"/>
      <c r="J231" s="319"/>
      <c r="K231" s="324"/>
      <c r="L231" s="325"/>
    </row>
    <row r="232" spans="2:12" ht="16.5" x14ac:dyDescent="0.2">
      <c r="B232" s="193" t="s">
        <v>443</v>
      </c>
      <c r="C232" s="194" t="str">
        <f>IF('Información general'!D55&lt;&gt;0,IF('Información general'!H76='Equipamiento y listas'!A25,Corrección!C331+Corrección!D331,IF('Información general'!H76='Equipamiento y listas'!A26,Corrección!C365+Corrección!D365,IF('Información general'!H76='Equipamiento y listas'!A27,Corrección!C401+Corrección!D401))),"")</f>
        <v/>
      </c>
      <c r="D232" s="195" t="s">
        <v>16</v>
      </c>
      <c r="E232" s="326" t="str">
        <f>_xlfn.CONCAT("Indicación ",B92," ",'Información general'!$N$37)</f>
        <v>Indicación 0 psi</v>
      </c>
      <c r="F232" s="327"/>
      <c r="G232" s="188" t="e">
        <f>$C$237*(1-($C$232+$C$233)*($C$232+$C$233)*($C$232+$C$234)/($C$235*($C$232+$C$236)))*((1+$C$240*(C92*LOOKUP('Información general'!$N$37,'Equipamiento y listas'!$J$36:$J$48,'Equipamiento y listas'!$L$36:$L$48)-$C$238)/($C$239))^(1/$C$240))</f>
        <v>#VALUE!</v>
      </c>
      <c r="H232" s="187" t="s">
        <v>489</v>
      </c>
      <c r="I232" s="328" t="str">
        <f>_xlfn.CONCAT("Indicación ",B97," ",'Información general'!$N$37)</f>
        <v>Indicación 0 psi</v>
      </c>
      <c r="J232" s="327"/>
      <c r="K232" s="188" t="e">
        <f>$C$237*(1-($C$232+$C$233)*($C$232+$C$233)*($C$232+$C$234)/($C$235*($C$232+$C$236)))*((1+$C$240*(C97*LOOKUP('Información general'!$N$37,'Equipamiento y listas'!$J$36:$J$48,'Equipamiento y listas'!$L$36:$L$48)-$C$238)/($C$239))^(1/$C$240))</f>
        <v>#VALUE!</v>
      </c>
      <c r="L232" s="144" t="s">
        <v>489</v>
      </c>
    </row>
    <row r="233" spans="2:12" ht="18.75" x14ac:dyDescent="0.35">
      <c r="B233" s="193" t="s">
        <v>494</v>
      </c>
      <c r="C233" s="196">
        <v>-3.9830350000000001</v>
      </c>
      <c r="D233" s="197" t="s">
        <v>16</v>
      </c>
      <c r="E233" s="326" t="str">
        <f>_xlfn.CONCAT("Indicación ",B93," ",'Información general'!$N$37)</f>
        <v>Indicación 0 psi</v>
      </c>
      <c r="F233" s="327"/>
      <c r="G233" s="188" t="e">
        <f>$C$237*(1-($C$232+$C$233)*($C$232+$C$233)*($C$232+$C$234)/($C$235*($C$232+$C$236)))*((1+$C$240*(C93*LOOKUP('Información general'!$N$37,'Equipamiento y listas'!$J$36:$J$48,'Equipamiento y listas'!$L$36:$L$48)-$C$238)/($C$239))^(1/$C$240))</f>
        <v>#VALUE!</v>
      </c>
      <c r="H233" s="191" t="s">
        <v>489</v>
      </c>
      <c r="I233" s="328" t="str">
        <f>_xlfn.CONCAT("Indicación ",B98," ",'Información general'!$N$37)</f>
        <v>Indicación 0 psi</v>
      </c>
      <c r="J233" s="327"/>
      <c r="K233" s="188" t="e">
        <f>$C$237*(1-($C$232+$C$233)*($C$232+$C$233)*($C$232+$C$234)/($C$235*($C$232+$C$236)))*((1+$C$240*(C98*LOOKUP('Información general'!$N$37,'Equipamiento y listas'!$J$36:$J$48,'Equipamiento y listas'!$L$36:$L$48)-$C$238)/($C$239))^(1/$C$240))</f>
        <v>#VALUE!</v>
      </c>
      <c r="L233" s="149" t="s">
        <v>489</v>
      </c>
    </row>
    <row r="234" spans="2:12" ht="18.75" x14ac:dyDescent="0.35">
      <c r="B234" s="193" t="s">
        <v>495</v>
      </c>
      <c r="C234" s="196">
        <v>301.79700000000003</v>
      </c>
      <c r="D234" s="197" t="s">
        <v>16</v>
      </c>
      <c r="E234" s="326" t="str">
        <f>_xlfn.CONCAT("Indicación ",B94," ",'Información general'!$N$37)</f>
        <v>Indicación 0 psi</v>
      </c>
      <c r="F234" s="327"/>
      <c r="G234" s="188" t="e">
        <f>$C$237*(1-($C$232+$C$233)*($C$232+$C$233)*($C$232+$C$234)/($C$235*($C$232+$C$236)))*((1+$C$240*(C94*LOOKUP('Información general'!$N$37,'Equipamiento y listas'!$J$36:$J$48,'Equipamiento y listas'!$L$36:$L$48)-$C$238)/($C$239))^(1/$C$240))</f>
        <v>#VALUE!</v>
      </c>
      <c r="H234" s="191" t="s">
        <v>489</v>
      </c>
      <c r="I234" s="328" t="str">
        <f>_xlfn.CONCAT("Indicación ",B99," ",'Información general'!$N$37)</f>
        <v>Indicación 0 psi</v>
      </c>
      <c r="J234" s="327"/>
      <c r="K234" s="188" t="e">
        <f>$C$237*(1-($C$232+$C$233)*($C$232+$C$233)*($C$232+$C$234)/($C$235*($C$232+$C$236)))*((1+$C$240*(C99*LOOKUP('Información general'!$N$37,'Equipamiento y listas'!$J$36:$J$48,'Equipamiento y listas'!$L$36:$L$48)-$C$238)/($C$239))^(1/$C$240))</f>
        <v>#VALUE!</v>
      </c>
      <c r="L234" s="149" t="s">
        <v>489</v>
      </c>
    </row>
    <row r="235" spans="2:12" ht="18.75" x14ac:dyDescent="0.35">
      <c r="B235" s="193" t="s">
        <v>496</v>
      </c>
      <c r="C235" s="196">
        <v>522528.9</v>
      </c>
      <c r="D235" s="197" t="s">
        <v>497</v>
      </c>
      <c r="E235" s="326" t="str">
        <f>_xlfn.CONCAT("Indicación ",B95," ",'Información general'!$N$37)</f>
        <v>Indicación 0 psi</v>
      </c>
      <c r="F235" s="327"/>
      <c r="G235" s="188" t="e">
        <f>$C$237*(1-($C$232+$C$233)*($C$232+$C$233)*($C$232+$C$234)/($C$235*($C$232+$C$236)))*((1+$C$240*(C95*LOOKUP('Información general'!$N$37,'Equipamiento y listas'!$J$36:$J$48,'Equipamiento y listas'!$L$36:$L$48)-$C$238)/($C$239))^(1/$C$240))</f>
        <v>#VALUE!</v>
      </c>
      <c r="H235" s="191" t="s">
        <v>489</v>
      </c>
      <c r="I235" s="328" t="str">
        <f>_xlfn.CONCAT("Indicación ",B100," ",'Información general'!$N$37)</f>
        <v>Indicación 0 psi</v>
      </c>
      <c r="J235" s="327"/>
      <c r="K235" s="188" t="e">
        <f>$C$237*(1-($C$232+$C$233)*($C$232+$C$233)*($C$232+$C$234)/($C$235*($C$232+$C$236)))*((1+$C$240*(C100*LOOKUP('Información general'!$N$37,'Equipamiento y listas'!$J$36:$J$48,'Equipamiento y listas'!$L$36:$L$48)-$C$238)/($C$239))^(1/$C$240))</f>
        <v>#VALUE!</v>
      </c>
      <c r="L235" s="149" t="s">
        <v>489</v>
      </c>
    </row>
    <row r="236" spans="2:12" ht="18.75" x14ac:dyDescent="0.35">
      <c r="B236" s="193" t="s">
        <v>498</v>
      </c>
      <c r="C236" s="196">
        <v>69.34881</v>
      </c>
      <c r="D236" s="197" t="s">
        <v>16</v>
      </c>
      <c r="E236" s="297" t="str">
        <f>_xlfn.CONCAT("Indicación ",B96," ",'Información general'!$N$37)</f>
        <v>Indicación 0 psi</v>
      </c>
      <c r="F236" s="298"/>
      <c r="G236" s="188" t="e">
        <f>$C$237*(1-($C$232+$C$233)*($C$232+$C$233)*($C$232+$C$234)/($C$235*($C$232+$C$236)))*((1+$C$240*(C96*LOOKUP('Información general'!$N$37,'Equipamiento y listas'!$J$36:$J$48,'Equipamiento y listas'!$L$36:$L$48)-$C$238)/($C$239))^(1/$C$240))</f>
        <v>#VALUE!</v>
      </c>
      <c r="H236" s="191" t="s">
        <v>489</v>
      </c>
      <c r="I236" s="299" t="str">
        <f>_xlfn.CONCAT("Indicación ",B101," ",'Información general'!$N$37)</f>
        <v>Indicación 0 psi</v>
      </c>
      <c r="J236" s="298"/>
      <c r="K236" s="188" t="e">
        <f>$C$237*(1-($C$232+$C$233)*($C$232+$C$233)*($C$232+$C$234)/($C$235*($C$232+$C$236)))*((1+$C$240*(C101*LOOKUP('Información general'!$N$37,'Equipamiento y listas'!$J$36:$J$48,'Equipamiento y listas'!$L$36:$L$48)-$C$238)/($C$239))^(1/$C$240))</f>
        <v>#VALUE!</v>
      </c>
      <c r="L236" s="149" t="s">
        <v>489</v>
      </c>
    </row>
    <row r="237" spans="2:12" ht="18.75" x14ac:dyDescent="0.35">
      <c r="B237" s="193" t="s">
        <v>499</v>
      </c>
      <c r="C237" s="196">
        <v>999.97199999999998</v>
      </c>
      <c r="D237" s="150" t="s">
        <v>489</v>
      </c>
    </row>
    <row r="238" spans="2:12" ht="18.75" x14ac:dyDescent="0.35">
      <c r="B238" s="193" t="s">
        <v>500</v>
      </c>
      <c r="C238" s="196">
        <v>101325</v>
      </c>
      <c r="D238" s="150" t="s">
        <v>213</v>
      </c>
    </row>
    <row r="239" spans="2:12" ht="18.75" x14ac:dyDescent="0.35">
      <c r="B239" s="193" t="s">
        <v>501</v>
      </c>
      <c r="C239" s="198">
        <v>2150000</v>
      </c>
      <c r="D239" s="150" t="s">
        <v>213</v>
      </c>
    </row>
    <row r="240" spans="2:12" x14ac:dyDescent="0.2">
      <c r="B240" s="199" t="s">
        <v>442</v>
      </c>
      <c r="C240" s="196">
        <v>7.5</v>
      </c>
      <c r="D240" s="150">
        <v>1</v>
      </c>
    </row>
    <row r="241" spans="1:12" x14ac:dyDescent="0.2">
      <c r="H241" s="200"/>
    </row>
    <row r="242" spans="1:12" x14ac:dyDescent="0.2">
      <c r="B242" s="314" t="s">
        <v>290</v>
      </c>
      <c r="C242" s="314"/>
      <c r="D242" s="315"/>
      <c r="E242" s="313" t="s">
        <v>285</v>
      </c>
      <c r="F242" s="314"/>
      <c r="G242" s="314"/>
      <c r="H242" s="314"/>
      <c r="I242" s="314"/>
      <c r="J242" s="314"/>
      <c r="K242" s="312" t="s">
        <v>294</v>
      </c>
      <c r="L242" s="312"/>
    </row>
    <row r="243" spans="1:12" x14ac:dyDescent="0.2">
      <c r="B243" s="314"/>
      <c r="C243" s="314"/>
      <c r="D243" s="315"/>
      <c r="E243" s="313"/>
      <c r="F243" s="314"/>
      <c r="G243" s="314"/>
      <c r="H243" s="314"/>
      <c r="I243" s="314"/>
      <c r="J243" s="314"/>
      <c r="K243" s="312"/>
      <c r="L243" s="312"/>
    </row>
    <row r="244" spans="1:12" ht="18.75" x14ac:dyDescent="0.35">
      <c r="B244" s="316"/>
      <c r="C244" s="316"/>
      <c r="D244" s="317"/>
      <c r="E244" s="201" t="s">
        <v>494</v>
      </c>
      <c r="F244" s="196">
        <v>-3.9830350000000001</v>
      </c>
      <c r="G244" s="150" t="s">
        <v>16</v>
      </c>
      <c r="H244" s="180" t="s">
        <v>502</v>
      </c>
      <c r="I244" s="202">
        <v>5.0740000000000003E-10</v>
      </c>
      <c r="J244" s="150" t="s">
        <v>503</v>
      </c>
      <c r="K244" s="312"/>
      <c r="L244" s="312"/>
    </row>
    <row r="245" spans="1:12" ht="18.75" x14ac:dyDescent="0.35">
      <c r="B245" s="309" t="str">
        <f>IF('Información general'!D55&lt;&gt;0,F248*(1-(L245+F244)*(L245+F244)*(L245+F245)/(F246*(L245+F247)))*(1+(I244+I245*L245+I246*L245*L245)*(100*L247-101325)),"")</f>
        <v/>
      </c>
      <c r="C245" s="310"/>
      <c r="D245" s="307" t="s">
        <v>483</v>
      </c>
      <c r="E245" s="201" t="s">
        <v>495</v>
      </c>
      <c r="F245" s="196">
        <v>301.79700000000003</v>
      </c>
      <c r="G245" s="150" t="s">
        <v>16</v>
      </c>
      <c r="H245" s="180" t="s">
        <v>481</v>
      </c>
      <c r="I245" s="202">
        <v>-3.2599999999999998E-12</v>
      </c>
      <c r="J245" s="150" t="s">
        <v>504</v>
      </c>
      <c r="K245" s="301" t="s">
        <v>292</v>
      </c>
      <c r="L245" s="302" t="str">
        <f>IF('Información general'!D55&lt;&gt;0,IF('Información general'!H76='Equipamiento y listas'!A25,Corrección!C331+Corrección!D331,IF('Información general'!H76='Equipamiento y listas'!A26,Corrección!C365+Corrección!D365,IF('Información general'!H76='Equipamiento y listas'!A27,Corrección!C401+Corrección!D401))),"")</f>
        <v/>
      </c>
    </row>
    <row r="246" spans="1:12" ht="18.75" x14ac:dyDescent="0.35">
      <c r="B246" s="306"/>
      <c r="C246" s="252"/>
      <c r="D246" s="311"/>
      <c r="E246" s="201" t="s">
        <v>496</v>
      </c>
      <c r="F246" s="196">
        <v>522528.9</v>
      </c>
      <c r="G246" s="150" t="s">
        <v>497</v>
      </c>
      <c r="H246" s="180" t="s">
        <v>484</v>
      </c>
      <c r="I246" s="202">
        <v>4.1600000000000001E-14</v>
      </c>
      <c r="J246" s="150" t="s">
        <v>505</v>
      </c>
      <c r="K246" s="301"/>
      <c r="L246" s="303"/>
    </row>
    <row r="247" spans="1:12" ht="18.75" x14ac:dyDescent="0.35">
      <c r="B247" s="304" t="str">
        <f>IF('Información general'!D55&lt;&gt;0,B245/1000,"")</f>
        <v/>
      </c>
      <c r="C247" s="305"/>
      <c r="D247" s="307" t="s">
        <v>485</v>
      </c>
      <c r="E247" s="201" t="s">
        <v>498</v>
      </c>
      <c r="F247" s="196">
        <v>69.34881</v>
      </c>
      <c r="G247" s="150" t="s">
        <v>16</v>
      </c>
      <c r="H247" s="180" t="s">
        <v>506</v>
      </c>
      <c r="I247" s="202">
        <v>-4.6119999999999998E-3</v>
      </c>
      <c r="J247" s="150" t="s">
        <v>489</v>
      </c>
      <c r="K247" s="301" t="s">
        <v>293</v>
      </c>
      <c r="L247" s="300" t="str">
        <f>IF('Información general'!D55&lt;&gt;0,'Información general'!L55,"")</f>
        <v/>
      </c>
    </row>
    <row r="248" spans="1:12" ht="18.75" x14ac:dyDescent="0.35">
      <c r="B248" s="306"/>
      <c r="C248" s="252"/>
      <c r="D248" s="308"/>
      <c r="E248" s="203" t="s">
        <v>499</v>
      </c>
      <c r="F248" s="196">
        <v>999.97199999999998</v>
      </c>
      <c r="G248" s="150" t="s">
        <v>489</v>
      </c>
      <c r="H248" s="184" t="s">
        <v>507</v>
      </c>
      <c r="I248" s="202">
        <v>1.06E-4</v>
      </c>
      <c r="J248" s="150" t="s">
        <v>508</v>
      </c>
      <c r="K248" s="301"/>
      <c r="L248" s="253"/>
    </row>
    <row r="250" spans="1:12" ht="15" x14ac:dyDescent="0.25">
      <c r="A250" s="161"/>
      <c r="B250" s="216" t="s">
        <v>421</v>
      </c>
      <c r="C250" s="216"/>
      <c r="D250" s="216"/>
      <c r="E250" s="216" t="s">
        <v>422</v>
      </c>
      <c r="F250" s="216"/>
      <c r="G250" s="216" t="s">
        <v>423</v>
      </c>
      <c r="H250" s="217"/>
    </row>
    <row r="251" spans="1:12" ht="13.7" customHeight="1" x14ac:dyDescent="0.25">
      <c r="A251" s="142" t="s">
        <v>424</v>
      </c>
      <c r="B251" s="221" t="str">
        <f>'Información general'!B81:D81</f>
        <v>Juan Felipe Calderón</v>
      </c>
      <c r="C251" s="218"/>
      <c r="D251" s="218"/>
      <c r="E251" s="218" t="str">
        <f>'Información general'!E81:F81</f>
        <v>Cristian González</v>
      </c>
      <c r="F251" s="218"/>
      <c r="G251" s="218" t="str">
        <f>'Información general'!G81:H81</f>
        <v>Alejandro Bedoya</v>
      </c>
      <c r="H251" s="218"/>
    </row>
    <row r="252" spans="1:12" ht="13.7" customHeight="1" x14ac:dyDescent="0.25">
      <c r="A252" s="142" t="s">
        <v>428</v>
      </c>
      <c r="B252" s="221" t="str">
        <f>'Información general'!B82:D82</f>
        <v>Coordinador de operaciones</v>
      </c>
      <c r="C252" s="218"/>
      <c r="D252" s="218"/>
      <c r="E252" s="219" t="str">
        <f>'Información general'!E82:F82</f>
        <v>Director técnico</v>
      </c>
      <c r="F252" s="219"/>
      <c r="G252" s="219" t="str">
        <f>'Información general'!G82:H82</f>
        <v>Gerente Operativo</v>
      </c>
      <c r="H252" s="219"/>
    </row>
    <row r="253" spans="1:12" ht="15" x14ac:dyDescent="0.25">
      <c r="A253" s="143" t="s">
        <v>432</v>
      </c>
      <c r="B253" s="295">
        <f>'Información general'!B83:D83</f>
        <v>45442</v>
      </c>
      <c r="C253" s="296"/>
      <c r="D253" s="296"/>
      <c r="E253" s="220">
        <f>'Información general'!E83:F83</f>
        <v>45442</v>
      </c>
      <c r="F253" s="220"/>
      <c r="G253" s="220">
        <f>'Información general'!G83:H83</f>
        <v>45477</v>
      </c>
      <c r="H253" s="220"/>
    </row>
  </sheetData>
  <sheetProtection algorithmName="SHA-512" hashValue="F991gpRPjWwKvpO+L76+i9wbEp7NrxgSzcyY3ssK5/tr0Fw5IJet/1IcKtKu5bC9vPtlfnHUk41Bx8n2MONZ4A==" saltValue="Q/nF3Encg959opRbiw9Vgw==" spinCount="100000" sheet="1" objects="1" scenarios="1"/>
  <mergeCells count="175">
    <mergeCell ref="B229:D231"/>
    <mergeCell ref="E229:F231"/>
    <mergeCell ref="G229:H231"/>
    <mergeCell ref="C88:C91"/>
    <mergeCell ref="D88:D91"/>
    <mergeCell ref="B86:F87"/>
    <mergeCell ref="G86:L87"/>
    <mergeCell ref="A107:M107"/>
    <mergeCell ref="J90:J91"/>
    <mergeCell ref="K90:K91"/>
    <mergeCell ref="L90:L91"/>
    <mergeCell ref="I227:J227"/>
    <mergeCell ref="E224:F224"/>
    <mergeCell ref="I224:J224"/>
    <mergeCell ref="E225:F225"/>
    <mergeCell ref="I225:J225"/>
    <mergeCell ref="E226:F226"/>
    <mergeCell ref="I226:J226"/>
    <mergeCell ref="E227:F227"/>
    <mergeCell ref="A158:M158"/>
    <mergeCell ref="A131:M131"/>
    <mergeCell ref="A210:M210"/>
    <mergeCell ref="A218:M218"/>
    <mergeCell ref="B220:D222"/>
    <mergeCell ref="A40:A46"/>
    <mergeCell ref="A68:A74"/>
    <mergeCell ref="B68:E69"/>
    <mergeCell ref="F68:I69"/>
    <mergeCell ref="J68:M69"/>
    <mergeCell ref="B70:C71"/>
    <mergeCell ref="D70:E71"/>
    <mergeCell ref="F70:G71"/>
    <mergeCell ref="H70:I71"/>
    <mergeCell ref="J70:K71"/>
    <mergeCell ref="L70:M71"/>
    <mergeCell ref="B72:B74"/>
    <mergeCell ref="C72:C74"/>
    <mergeCell ref="D72:D74"/>
    <mergeCell ref="E72:E74"/>
    <mergeCell ref="H44:H46"/>
    <mergeCell ref="I44:I46"/>
    <mergeCell ref="J44:J46"/>
    <mergeCell ref="K44:K46"/>
    <mergeCell ref="L44:L46"/>
    <mergeCell ref="C44:C46"/>
    <mergeCell ref="D44:D46"/>
    <mergeCell ref="E44:E46"/>
    <mergeCell ref="F44:F46"/>
    <mergeCell ref="G44:G46"/>
    <mergeCell ref="B40:E41"/>
    <mergeCell ref="F40:I41"/>
    <mergeCell ref="J40:M41"/>
    <mergeCell ref="B42:C43"/>
    <mergeCell ref="D42:E43"/>
    <mergeCell ref="F42:G43"/>
    <mergeCell ref="H42:I43"/>
    <mergeCell ref="J42:K43"/>
    <mergeCell ref="L42:M43"/>
    <mergeCell ref="M44:M46"/>
    <mergeCell ref="A1:C6"/>
    <mergeCell ref="A8:M8"/>
    <mergeCell ref="A25:M25"/>
    <mergeCell ref="A34:M34"/>
    <mergeCell ref="G27:G29"/>
    <mergeCell ref="H27:H29"/>
    <mergeCell ref="I27:I29"/>
    <mergeCell ref="J27:J29"/>
    <mergeCell ref="K27:K29"/>
    <mergeCell ref="L27:L29"/>
    <mergeCell ref="F27:F29"/>
    <mergeCell ref="B27:B28"/>
    <mergeCell ref="B29:B30"/>
    <mergeCell ref="K22:L23"/>
    <mergeCell ref="K1:M2"/>
    <mergeCell ref="K3:M4"/>
    <mergeCell ref="K5:M6"/>
    <mergeCell ref="D1:J6"/>
    <mergeCell ref="D22:J23"/>
    <mergeCell ref="A62:M62"/>
    <mergeCell ref="B66:D66"/>
    <mergeCell ref="H66:J66"/>
    <mergeCell ref="B105:D105"/>
    <mergeCell ref="H105:J105"/>
    <mergeCell ref="B64:L65"/>
    <mergeCell ref="B103:L104"/>
    <mergeCell ref="F72:F74"/>
    <mergeCell ref="G72:G74"/>
    <mergeCell ref="H72:H74"/>
    <mergeCell ref="I72:I74"/>
    <mergeCell ref="J72:J74"/>
    <mergeCell ref="K72:K74"/>
    <mergeCell ref="L72:L74"/>
    <mergeCell ref="M72:M74"/>
    <mergeCell ref="E88:E91"/>
    <mergeCell ref="F88:F91"/>
    <mergeCell ref="B88:B91"/>
    <mergeCell ref="G88:H89"/>
    <mergeCell ref="I88:J89"/>
    <mergeCell ref="K88:L89"/>
    <mergeCell ref="G90:G91"/>
    <mergeCell ref="H90:H91"/>
    <mergeCell ref="I90:I91"/>
    <mergeCell ref="B60:D60"/>
    <mergeCell ref="H60:J60"/>
    <mergeCell ref="B58:L59"/>
    <mergeCell ref="B36:L37"/>
    <mergeCell ref="B38:D38"/>
    <mergeCell ref="H38:J38"/>
    <mergeCell ref="B10:C23"/>
    <mergeCell ref="D12:J13"/>
    <mergeCell ref="K12:L13"/>
    <mergeCell ref="B31:B32"/>
    <mergeCell ref="C27:D28"/>
    <mergeCell ref="C29:D30"/>
    <mergeCell ref="C31:D32"/>
    <mergeCell ref="B44:B46"/>
    <mergeCell ref="D10:J11"/>
    <mergeCell ref="K10:L11"/>
    <mergeCell ref="D14:J15"/>
    <mergeCell ref="K14:L15"/>
    <mergeCell ref="D16:J17"/>
    <mergeCell ref="K16:L17"/>
    <mergeCell ref="D18:J19"/>
    <mergeCell ref="K18:L19"/>
    <mergeCell ref="D20:J21"/>
    <mergeCell ref="K20:L21"/>
    <mergeCell ref="E220:F222"/>
    <mergeCell ref="G220:H222"/>
    <mergeCell ref="I220:J222"/>
    <mergeCell ref="K220:L222"/>
    <mergeCell ref="E223:F223"/>
    <mergeCell ref="I223:J223"/>
    <mergeCell ref="B216:C216"/>
    <mergeCell ref="H216:K216"/>
    <mergeCell ref="B212:D214"/>
    <mergeCell ref="E212:G213"/>
    <mergeCell ref="H212:L213"/>
    <mergeCell ref="H214:K214"/>
    <mergeCell ref="B215:C215"/>
    <mergeCell ref="H215:K215"/>
    <mergeCell ref="I229:J231"/>
    <mergeCell ref="K229:L231"/>
    <mergeCell ref="E232:F232"/>
    <mergeCell ref="I232:J232"/>
    <mergeCell ref="E233:F233"/>
    <mergeCell ref="I233:J233"/>
    <mergeCell ref="E234:F234"/>
    <mergeCell ref="I234:J234"/>
    <mergeCell ref="E235:F235"/>
    <mergeCell ref="I235:J235"/>
    <mergeCell ref="E236:F236"/>
    <mergeCell ref="I236:J236"/>
    <mergeCell ref="L247:L248"/>
    <mergeCell ref="K247:K248"/>
    <mergeCell ref="L245:L246"/>
    <mergeCell ref="K245:K246"/>
    <mergeCell ref="B247:C248"/>
    <mergeCell ref="D247:D248"/>
    <mergeCell ref="B245:C246"/>
    <mergeCell ref="D245:D246"/>
    <mergeCell ref="K242:L244"/>
    <mergeCell ref="E242:J243"/>
    <mergeCell ref="B242:D244"/>
    <mergeCell ref="B253:D253"/>
    <mergeCell ref="E253:F253"/>
    <mergeCell ref="G253:H253"/>
    <mergeCell ref="B250:D250"/>
    <mergeCell ref="E250:F250"/>
    <mergeCell ref="G250:H250"/>
    <mergeCell ref="B251:D251"/>
    <mergeCell ref="E251:F251"/>
    <mergeCell ref="G251:H251"/>
    <mergeCell ref="B252:D252"/>
    <mergeCell ref="E252:F252"/>
    <mergeCell ref="G252:H252"/>
  </mergeCells>
  <conditionalFormatting sqref="E66">
    <cfRule type="cellIs" dxfId="51" priority="121" operator="greaterThan">
      <formula>40</formula>
    </cfRule>
    <cfRule type="cellIs" dxfId="50" priority="122" operator="lessThan">
      <formula>5</formula>
    </cfRule>
  </conditionalFormatting>
  <conditionalFormatting sqref="E105">
    <cfRule type="cellIs" dxfId="49" priority="119" operator="greaterThan">
      <formula>40</formula>
    </cfRule>
    <cfRule type="cellIs" dxfId="48" priority="120" operator="lessThan">
      <formula>5</formula>
    </cfRule>
  </conditionalFormatting>
  <conditionalFormatting sqref="K66">
    <cfRule type="cellIs" dxfId="47" priority="117" operator="greaterThan">
      <formula>80</formula>
    </cfRule>
    <cfRule type="cellIs" dxfId="46" priority="118" operator="lessThan">
      <formula>5</formula>
    </cfRule>
  </conditionalFormatting>
  <conditionalFormatting sqref="K105">
    <cfRule type="cellIs" dxfId="45" priority="115" operator="greaterThan">
      <formula>80</formula>
    </cfRule>
    <cfRule type="cellIs" dxfId="44" priority="116" operator="lessThan">
      <formula>5</formula>
    </cfRule>
  </conditionalFormatting>
  <conditionalFormatting sqref="K10:L11">
    <cfRule type="containsText" dxfId="43" priority="113" operator="containsText" text="No">
      <formula>NOT(ISERROR(SEARCH("No",K10)))</formula>
    </cfRule>
    <cfRule type="containsText" dxfId="42" priority="114" operator="containsText" text="Sí">
      <formula>NOT(ISERROR(SEARCH("Sí",K10)))</formula>
    </cfRule>
  </conditionalFormatting>
  <conditionalFormatting sqref="K14:L15">
    <cfRule type="containsText" dxfId="41" priority="111" operator="containsText" text="No">
      <formula>NOT(ISERROR(SEARCH("No",K14)))</formula>
    </cfRule>
    <cfRule type="containsText" dxfId="40" priority="112" operator="containsText" text="Sí">
      <formula>NOT(ISERROR(SEARCH("Sí",K14)))</formula>
    </cfRule>
  </conditionalFormatting>
  <conditionalFormatting sqref="K16:L17">
    <cfRule type="containsText" dxfId="39" priority="109" operator="containsText" text="Sí">
      <formula>NOT(ISERROR(SEARCH("Sí",K16)))</formula>
    </cfRule>
    <cfRule type="containsText" dxfId="38" priority="110" operator="containsText" text="No">
      <formula>NOT(ISERROR(SEARCH("No",K16)))</formula>
    </cfRule>
  </conditionalFormatting>
  <conditionalFormatting sqref="K18:L19">
    <cfRule type="containsText" dxfId="37" priority="107" operator="containsText" text="No">
      <formula>NOT(ISERROR(SEARCH("No",K18)))</formula>
    </cfRule>
    <cfRule type="containsText" dxfId="36" priority="108" operator="containsText" text="Sí">
      <formula>NOT(ISERROR(SEARCH("Sí",K18)))</formula>
    </cfRule>
  </conditionalFormatting>
  <conditionalFormatting sqref="K20:L21">
    <cfRule type="containsText" dxfId="35" priority="105" operator="containsText" text="No">
      <formula>NOT(ISERROR(SEARCH("No",K20)))</formula>
    </cfRule>
    <cfRule type="containsText" dxfId="34" priority="106" operator="containsText" text="Sí">
      <formula>NOT(ISERROR(SEARCH("Sí",K20)))</formula>
    </cfRule>
  </conditionalFormatting>
  <conditionalFormatting sqref="K22:L23">
    <cfRule type="containsText" dxfId="33" priority="103" operator="containsText" text="No">
      <formula>NOT(ISERROR(SEARCH("No",K22)))</formula>
    </cfRule>
    <cfRule type="containsText" dxfId="32" priority="104" operator="containsText" text="Sí">
      <formula>NOT(ISERROR(SEARCH("Sí",K22)))</formula>
    </cfRule>
  </conditionalFormatting>
  <conditionalFormatting sqref="K12:L13">
    <cfRule type="containsText" dxfId="31" priority="64" operator="containsText" text="No">
      <formula>NOT(ISERROR(SEARCH("No",K12)))</formula>
    </cfRule>
    <cfRule type="containsText" dxfId="30" priority="65" operator="containsText" text="Sí">
      <formula>NOT(ISERROR(SEARCH("Sí",K12)))</formula>
    </cfRule>
  </conditionalFormatting>
  <conditionalFormatting sqref="L30">
    <cfRule type="containsText" dxfId="29" priority="7" operator="containsText" text="No">
      <formula>NOT(ISERROR(SEARCH("No",L30)))</formula>
    </cfRule>
    <cfRule type="containsText" dxfId="28" priority="8" operator="containsText" text="Sí">
      <formula>NOT(ISERROR(SEARCH("Sí",L30)))</formula>
    </cfRule>
  </conditionalFormatting>
  <conditionalFormatting sqref="L31:L32">
    <cfRule type="containsText" dxfId="27" priority="5" operator="containsText" text="No">
      <formula>NOT(ISERROR(SEARCH("No",L31)))</formula>
    </cfRule>
    <cfRule type="containsText" dxfId="26" priority="6" operator="containsText" text="Sí">
      <formula>NOT(ISERROR(SEARCH("Sí",L31)))</formula>
    </cfRule>
  </conditionalFormatting>
  <dataValidations count="1">
    <dataValidation type="list" allowBlank="1" showInputMessage="1" showErrorMessage="1" sqref="K10:L23" xr:uid="{477F524C-40D9-4F6F-B916-F6F866DB0A57}">
      <formula1>"Sí,No,N.A."</formula1>
    </dataValidation>
  </dataValidations>
  <pageMargins left="0.7" right="0.7" top="0.75" bottom="0.75" header="0.3" footer="0.3"/>
  <pageSetup paperSize="9" orientation="portrait" r:id="rId1"/>
  <ignoredErrors>
    <ignoredError sqref="C75:C84 I75:I84 G75:G84 E75:E84 D75:D84 F75:F84 H75:H84 B75:B84" formula="1"/>
    <ignoredError sqref="F101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97E95954-7240-4C5C-8529-13A4290E3D51}">
            <xm:f>IF('Información general'!$D$53='Equipamiento y listas'!$B$41,TRUE())</xm:f>
            <x14:dxf>
              <font>
                <color theme="1"/>
              </font>
              <fill>
                <patternFill patternType="darkGrid">
                  <bgColor theme="0"/>
                </patternFill>
              </fill>
            </x14:dxf>
          </x14:cfRule>
          <xm:sqref>B245:C246</xm:sqref>
        </x14:conditionalFormatting>
        <x14:conditionalFormatting xmlns:xm="http://schemas.microsoft.com/office/excel/2006/main">
          <x14:cfRule type="expression" priority="12" id="{F3E75AD8-8A57-4F26-80B2-9219A3374C42}">
            <xm:f>IF('Información general'!$D$53='Equipamiento y listas'!$B$41,TRUE())</xm:f>
            <x14:dxf>
              <font>
                <color theme="1"/>
              </font>
              <fill>
                <patternFill patternType="darkGrid">
                  <bgColor theme="0"/>
                </patternFill>
              </fill>
            </x14:dxf>
          </x14:cfRule>
          <xm:sqref>B247:C248</xm:sqref>
        </x14:conditionalFormatting>
        <x14:conditionalFormatting xmlns:xm="http://schemas.microsoft.com/office/excel/2006/main">
          <x14:cfRule type="expression" priority="11" id="{18520DEE-54AE-436C-8EF9-3C71E62BEAB9}">
            <xm:f>IF('Información general'!$D$53='Equipamiento y listas'!$B$41,TRUE())</xm:f>
            <x14:dxf>
              <font>
                <color theme="1"/>
              </font>
              <fill>
                <patternFill patternType="darkGrid">
                  <bgColor theme="0"/>
                </patternFill>
              </fill>
            </x14:dxf>
          </x14:cfRule>
          <xm:sqref>L245:L248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F7C71-6E37-49FA-99A5-6A40ED22BEFA}">
  <sheetPr>
    <pageSetUpPr fitToPage="1"/>
  </sheetPr>
  <dimension ref="A1:AH413"/>
  <sheetViews>
    <sheetView tabSelected="1" topLeftCell="A25" zoomScaleNormal="100" zoomScaleSheetLayoutView="100" zoomScalePageLayoutView="30" workbookViewId="0">
      <selection activeCell="F18" sqref="F18:J19"/>
    </sheetView>
  </sheetViews>
  <sheetFormatPr baseColWidth="10" defaultRowHeight="15" x14ac:dyDescent="0.25"/>
  <cols>
    <col min="1" max="1" width="5" customWidth="1"/>
    <col min="2" max="2" width="11.5703125" customWidth="1"/>
    <col min="3" max="3" width="10.85546875" customWidth="1"/>
    <col min="5" max="5" width="7.85546875" customWidth="1"/>
    <col min="6" max="10" width="11.5703125" customWidth="1"/>
    <col min="11" max="11" width="4.5703125" customWidth="1"/>
    <col min="12" max="12" width="7.5703125" customWidth="1"/>
    <col min="13" max="13" width="12.140625" customWidth="1"/>
    <col min="14" max="16" width="11.5703125" customWidth="1"/>
  </cols>
  <sheetData>
    <row r="1" spans="1:17" ht="15" customHeight="1" thickBot="1" x14ac:dyDescent="0.3">
      <c r="A1" s="470"/>
      <c r="B1" s="470"/>
      <c r="C1" s="470"/>
      <c r="D1" s="251" t="str">
        <f>'Información general'!D1:K6</f>
        <v>CALIBRACIÓN DE MANÓMETROS, VACUÓMETROS Y MANOVACUÓMETROS</v>
      </c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47" t="str">
        <f>'Información general'!L1</f>
        <v>Código: Cp-F01</v>
      </c>
      <c r="P1" s="247"/>
      <c r="Q1" s="247"/>
    </row>
    <row r="2" spans="1:17" ht="15" customHeight="1" thickBot="1" x14ac:dyDescent="0.3">
      <c r="A2" s="470"/>
      <c r="B2" s="470"/>
      <c r="C2" s="470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47"/>
      <c r="P2" s="247"/>
      <c r="Q2" s="247"/>
    </row>
    <row r="3" spans="1:17" ht="15" customHeight="1" thickBot="1" x14ac:dyDescent="0.3">
      <c r="A3" s="470"/>
      <c r="B3" s="470"/>
      <c r="C3" s="470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47" t="str">
        <f>'Información general'!L3</f>
        <v>Versión: 02</v>
      </c>
      <c r="P3" s="247"/>
      <c r="Q3" s="247"/>
    </row>
    <row r="4" spans="1:17" ht="15" customHeight="1" thickBot="1" x14ac:dyDescent="0.3">
      <c r="A4" s="470"/>
      <c r="B4" s="470"/>
      <c r="C4" s="470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47"/>
      <c r="P4" s="247"/>
      <c r="Q4" s="247"/>
    </row>
    <row r="5" spans="1:17" ht="15" customHeight="1" thickBot="1" x14ac:dyDescent="0.3">
      <c r="A5" s="470"/>
      <c r="B5" s="470"/>
      <c r="C5" s="470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47" t="str">
        <f>'Información general'!L5</f>
        <v>Fecha: 2024-06-11</v>
      </c>
      <c r="P5" s="247"/>
      <c r="Q5" s="247"/>
    </row>
    <row r="6" spans="1:17" ht="15" customHeight="1" thickBot="1" x14ac:dyDescent="0.3">
      <c r="A6" s="470"/>
      <c r="B6" s="470"/>
      <c r="C6" s="470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47"/>
      <c r="P6" s="247"/>
      <c r="Q6" s="247"/>
    </row>
    <row r="7" spans="1:17" s="62" customFormat="1" ht="14.25" x14ac:dyDescent="0.2"/>
    <row r="8" spans="1:17" s="62" customFormat="1" x14ac:dyDescent="0.2">
      <c r="B8" s="63"/>
      <c r="C8" s="63"/>
      <c r="D8" s="63"/>
      <c r="I8" s="393" t="str">
        <f>_xlfn.CONCAT("Código del certificado: ",IF('Información general'!E41='Equipamiento y listas'!B46,'Información general'!E40,IF('Información general'!E41='Equipamiento y listas'!B47,_xlfn.CONCAT('Información general'!E40,"-",'Información general'!E42))))</f>
        <v>Código del certificado: 0</v>
      </c>
      <c r="J8" s="393"/>
      <c r="K8" s="393"/>
      <c r="L8" s="393"/>
      <c r="M8" s="393"/>
      <c r="N8" s="393"/>
      <c r="O8" s="394" t="s">
        <v>346</v>
      </c>
      <c r="P8" s="394"/>
    </row>
    <row r="9" spans="1:17" s="62" customFormat="1" x14ac:dyDescent="0.2">
      <c r="B9" s="63"/>
      <c r="C9" s="63"/>
      <c r="D9" s="63"/>
      <c r="I9" s="393"/>
      <c r="J9" s="393"/>
      <c r="K9" s="393"/>
      <c r="L9" s="393"/>
      <c r="M9" s="393"/>
      <c r="N9" s="393"/>
      <c r="O9" s="394"/>
      <c r="P9" s="394"/>
    </row>
    <row r="10" spans="1:17" s="62" customFormat="1" ht="14.1" customHeight="1" x14ac:dyDescent="0.3">
      <c r="B10" s="63"/>
      <c r="C10" s="63"/>
      <c r="D10" s="63"/>
      <c r="I10" s="64"/>
      <c r="J10" s="64"/>
      <c r="K10" s="64"/>
      <c r="L10" s="64"/>
      <c r="M10" s="64"/>
      <c r="N10" s="64"/>
      <c r="O10" s="65"/>
      <c r="P10" s="65"/>
    </row>
    <row r="11" spans="1:17" s="62" customFormat="1" ht="14.45" customHeight="1" x14ac:dyDescent="0.2"/>
    <row r="12" spans="1:17" s="62" customFormat="1" ht="14.1" customHeight="1" x14ac:dyDescent="0.2">
      <c r="B12" s="469" t="str">
        <f>IF('Información general'!E41='Equipamiento y listas'!B46,"CERTIFICADO DE CALIBRACIÓN",IF('Información general'!E41='Equipamiento y listas'!B47,_xlfn.CONCAT("CERTIFICADO DE CALIBRACIÓN - MODIFICACIÓN ",'Información general'!E42)))</f>
        <v>CERTIFICADO DE CALIBRACIÓN</v>
      </c>
      <c r="C12" s="469"/>
      <c r="D12" s="469"/>
      <c r="E12" s="469"/>
      <c r="F12" s="469"/>
      <c r="G12" s="469"/>
      <c r="H12" s="469"/>
      <c r="I12" s="469"/>
      <c r="J12" s="469"/>
      <c r="K12" s="469"/>
      <c r="L12" s="469"/>
      <c r="M12" s="469"/>
      <c r="N12" s="469"/>
      <c r="O12" s="469"/>
      <c r="P12" s="469"/>
    </row>
    <row r="13" spans="1:17" s="62" customFormat="1" ht="14.1" customHeight="1" x14ac:dyDescent="0.2">
      <c r="B13" s="469"/>
      <c r="C13" s="469"/>
      <c r="D13" s="469"/>
      <c r="E13" s="469"/>
      <c r="F13" s="469"/>
      <c r="G13" s="469"/>
      <c r="H13" s="469"/>
      <c r="I13" s="469"/>
      <c r="J13" s="469"/>
      <c r="K13" s="469"/>
      <c r="L13" s="469"/>
      <c r="M13" s="469"/>
      <c r="N13" s="469"/>
      <c r="O13" s="469"/>
      <c r="P13" s="469"/>
    </row>
    <row r="14" spans="1:17" s="62" customFormat="1" ht="14.25" x14ac:dyDescent="0.2">
      <c r="B14" s="469"/>
      <c r="C14" s="469"/>
      <c r="D14" s="469"/>
      <c r="E14" s="469"/>
      <c r="F14" s="469"/>
      <c r="G14" s="469"/>
      <c r="H14" s="469"/>
      <c r="I14" s="469"/>
      <c r="J14" s="469"/>
      <c r="K14" s="469"/>
      <c r="L14" s="469"/>
      <c r="M14" s="469"/>
      <c r="N14" s="469"/>
      <c r="O14" s="469"/>
      <c r="P14" s="469"/>
    </row>
    <row r="15" spans="1:17" s="62" customFormat="1" x14ac:dyDescent="0.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</row>
    <row r="16" spans="1:17" s="62" customFormat="1" x14ac:dyDescent="0.2"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</row>
    <row r="17" spans="2:16" s="62" customFormat="1" x14ac:dyDescent="0.2"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</row>
    <row r="18" spans="2:16" s="62" customFormat="1" ht="18" x14ac:dyDescent="0.25">
      <c r="B18" s="466" t="s">
        <v>347</v>
      </c>
      <c r="C18" s="466"/>
      <c r="D18" s="466"/>
      <c r="E18" s="466"/>
      <c r="F18" s="475" t="str">
        <f>UPPER('Información general'!E32)</f>
        <v>0</v>
      </c>
      <c r="G18" s="475"/>
      <c r="H18" s="475"/>
      <c r="I18" s="475"/>
      <c r="J18" s="475"/>
      <c r="K18" s="66"/>
      <c r="L18" s="468" t="s">
        <v>348</v>
      </c>
      <c r="M18" s="465"/>
      <c r="N18" s="465"/>
      <c r="O18" s="465"/>
      <c r="P18" s="465"/>
    </row>
    <row r="19" spans="2:16" s="62" customFormat="1" ht="18" x14ac:dyDescent="0.25">
      <c r="B19" s="66"/>
      <c r="C19" s="68"/>
      <c r="D19" s="68"/>
      <c r="E19" s="68"/>
      <c r="F19" s="475"/>
      <c r="G19" s="475"/>
      <c r="H19" s="475"/>
      <c r="I19" s="475"/>
      <c r="J19" s="475"/>
      <c r="K19" s="66"/>
      <c r="L19" s="66"/>
      <c r="M19" s="66"/>
      <c r="N19" s="66"/>
      <c r="O19" s="66"/>
      <c r="P19" s="66"/>
    </row>
    <row r="20" spans="2:16" s="62" customFormat="1" ht="18" customHeight="1" x14ac:dyDescent="0.2">
      <c r="B20" s="466" t="s">
        <v>2</v>
      </c>
      <c r="C20" s="466"/>
      <c r="D20" s="466"/>
      <c r="E20" s="466"/>
      <c r="F20" s="475" t="str">
        <f>UPPER('Información general'!E33)</f>
        <v>0</v>
      </c>
      <c r="G20" s="475"/>
      <c r="H20" s="475"/>
      <c r="I20" s="475"/>
      <c r="J20" s="475"/>
      <c r="K20" s="135"/>
      <c r="L20" s="471" t="s">
        <v>509</v>
      </c>
      <c r="M20" s="471"/>
      <c r="N20" s="471"/>
      <c r="O20" s="471"/>
      <c r="P20" s="471"/>
    </row>
    <row r="21" spans="2:16" s="62" customFormat="1" ht="18.600000000000001" customHeight="1" x14ac:dyDescent="0.25">
      <c r="B21" s="66"/>
      <c r="C21" s="68"/>
      <c r="D21" s="68"/>
      <c r="E21" s="68"/>
      <c r="F21" s="475"/>
      <c r="G21" s="475"/>
      <c r="H21" s="475"/>
      <c r="I21" s="475"/>
      <c r="J21" s="475"/>
      <c r="K21" s="66"/>
      <c r="L21" s="471"/>
      <c r="M21" s="471"/>
      <c r="N21" s="471"/>
      <c r="O21" s="471"/>
      <c r="P21" s="471"/>
    </row>
    <row r="22" spans="2:16" s="62" customFormat="1" ht="18" customHeight="1" x14ac:dyDescent="0.25">
      <c r="B22" s="466" t="s">
        <v>3</v>
      </c>
      <c r="C22" s="466"/>
      <c r="D22" s="466"/>
      <c r="E22" s="466"/>
      <c r="F22" s="475" t="str">
        <f>UPPER('Información general'!E34)</f>
        <v>0</v>
      </c>
      <c r="G22" s="475"/>
      <c r="H22" s="475"/>
      <c r="I22" s="475"/>
      <c r="J22" s="475"/>
      <c r="K22" s="66"/>
      <c r="L22" s="471"/>
      <c r="M22" s="471"/>
      <c r="N22" s="471"/>
      <c r="O22" s="471"/>
      <c r="P22" s="471"/>
    </row>
    <row r="23" spans="2:16" s="62" customFormat="1" ht="18" customHeight="1" x14ac:dyDescent="0.25">
      <c r="B23" s="66"/>
      <c r="C23" s="68"/>
      <c r="D23" s="68"/>
      <c r="E23" s="68"/>
      <c r="F23" s="475"/>
      <c r="G23" s="475"/>
      <c r="H23" s="475"/>
      <c r="I23" s="475"/>
      <c r="J23" s="475"/>
      <c r="K23" s="66"/>
      <c r="L23" s="471"/>
      <c r="M23" s="471"/>
      <c r="N23" s="471"/>
      <c r="O23" s="471"/>
      <c r="P23" s="471"/>
    </row>
    <row r="24" spans="2:16" s="62" customFormat="1" ht="18" customHeight="1" x14ac:dyDescent="0.25">
      <c r="B24" s="466" t="s">
        <v>4</v>
      </c>
      <c r="C24" s="466"/>
      <c r="D24" s="466"/>
      <c r="E24" s="466"/>
      <c r="F24" s="472">
        <f>'Información general'!E35</f>
        <v>0</v>
      </c>
      <c r="G24" s="472"/>
      <c r="H24" s="472"/>
      <c r="I24" s="472"/>
      <c r="J24" s="472"/>
      <c r="K24" s="66"/>
      <c r="L24" s="471"/>
      <c r="M24" s="471"/>
      <c r="N24" s="471"/>
      <c r="O24" s="471"/>
      <c r="P24" s="471"/>
    </row>
    <row r="25" spans="2:16" s="62" customFormat="1" ht="18" customHeight="1" x14ac:dyDescent="0.25">
      <c r="B25" s="66"/>
      <c r="C25" s="68"/>
      <c r="D25" s="68"/>
      <c r="E25" s="68"/>
      <c r="F25" s="66"/>
      <c r="G25" s="66"/>
      <c r="H25" s="66"/>
      <c r="I25" s="66"/>
      <c r="J25" s="66"/>
      <c r="K25" s="66"/>
      <c r="L25" s="471"/>
      <c r="M25" s="471"/>
      <c r="N25" s="471"/>
      <c r="O25" s="471"/>
      <c r="P25" s="471"/>
    </row>
    <row r="26" spans="2:16" s="62" customFormat="1" ht="18.600000000000001" customHeight="1" x14ac:dyDescent="0.2">
      <c r="B26" s="466" t="s">
        <v>349</v>
      </c>
      <c r="C26" s="466"/>
      <c r="D26" s="466"/>
      <c r="E26" s="466"/>
      <c r="F26" s="474" t="str">
        <f>UPPER(IF('Información general'!E43="Instalación de MB Metrología S.A.S.","Calle 32 B # 65 B - 22, Medellín, Antioquia",'Información general'!E44))</f>
        <v/>
      </c>
      <c r="G26" s="474"/>
      <c r="H26" s="474"/>
      <c r="I26" s="474"/>
      <c r="J26" s="474"/>
      <c r="K26" s="134"/>
      <c r="L26" s="471"/>
      <c r="M26" s="471"/>
      <c r="N26" s="471"/>
      <c r="O26" s="471"/>
      <c r="P26" s="471"/>
    </row>
    <row r="27" spans="2:16" s="62" customFormat="1" ht="18" x14ac:dyDescent="0.25">
      <c r="B27" s="66"/>
      <c r="C27" s="68"/>
      <c r="D27" s="68"/>
      <c r="E27" s="68"/>
      <c r="F27" s="474"/>
      <c r="G27" s="474"/>
      <c r="H27" s="474"/>
      <c r="I27" s="474"/>
      <c r="J27" s="474"/>
      <c r="K27" s="66"/>
      <c r="L27" s="471"/>
      <c r="M27" s="471"/>
      <c r="N27" s="471"/>
      <c r="O27" s="471"/>
      <c r="P27" s="471"/>
    </row>
    <row r="28" spans="2:16" s="62" customFormat="1" ht="18" x14ac:dyDescent="0.25">
      <c r="B28" s="466" t="s">
        <v>350</v>
      </c>
      <c r="C28" s="466"/>
      <c r="D28" s="466"/>
      <c r="E28" s="466"/>
      <c r="F28" s="474" t="str">
        <f>UPPER('Información general'!L32)</f>
        <v>0</v>
      </c>
      <c r="G28" s="474"/>
      <c r="H28" s="474"/>
      <c r="I28" s="474"/>
      <c r="J28" s="474"/>
      <c r="K28" s="66"/>
      <c r="L28" s="471"/>
      <c r="M28" s="471"/>
      <c r="N28" s="471"/>
      <c r="O28" s="471"/>
      <c r="P28" s="471"/>
    </row>
    <row r="29" spans="2:16" s="62" customFormat="1" ht="18" customHeight="1" x14ac:dyDescent="0.25">
      <c r="B29" s="66"/>
      <c r="C29" s="68"/>
      <c r="D29" s="68"/>
      <c r="E29" s="68"/>
      <c r="F29" s="474"/>
      <c r="G29" s="474"/>
      <c r="H29" s="474"/>
      <c r="I29" s="474"/>
      <c r="J29" s="474"/>
      <c r="K29" s="66"/>
      <c r="L29" s="471"/>
      <c r="M29" s="471"/>
      <c r="N29" s="471"/>
      <c r="O29" s="471"/>
      <c r="P29" s="471"/>
    </row>
    <row r="30" spans="2:16" s="62" customFormat="1" ht="18" customHeight="1" x14ac:dyDescent="0.25">
      <c r="B30" s="466" t="s">
        <v>9</v>
      </c>
      <c r="C30" s="466"/>
      <c r="D30" s="466"/>
      <c r="E30" s="466"/>
      <c r="F30" s="473" t="str">
        <f>UPPER('Información general'!L33)</f>
        <v>0</v>
      </c>
      <c r="G30" s="473"/>
      <c r="H30" s="473"/>
      <c r="I30" s="473"/>
      <c r="J30" s="473"/>
      <c r="K30" s="66"/>
      <c r="L30" s="471"/>
      <c r="M30" s="471"/>
      <c r="N30" s="471"/>
      <c r="O30" s="471"/>
      <c r="P30" s="471"/>
    </row>
    <row r="31" spans="2:16" s="62" customFormat="1" ht="18" customHeight="1" x14ac:dyDescent="0.25">
      <c r="B31" s="66"/>
      <c r="C31" s="66"/>
      <c r="D31" s="66"/>
      <c r="E31" s="68"/>
      <c r="F31" s="66"/>
      <c r="G31" s="66"/>
      <c r="H31" s="66"/>
      <c r="I31" s="66"/>
      <c r="J31" s="66"/>
      <c r="K31" s="66"/>
      <c r="L31" s="471"/>
      <c r="M31" s="471"/>
      <c r="N31" s="471"/>
      <c r="O31" s="471"/>
      <c r="P31" s="471"/>
    </row>
    <row r="32" spans="2:16" s="62" customFormat="1" ht="18" x14ac:dyDescent="0.25">
      <c r="B32" s="466" t="s">
        <v>10</v>
      </c>
      <c r="C32" s="466"/>
      <c r="D32" s="466"/>
      <c r="E32" s="466"/>
      <c r="F32" s="473" t="str">
        <f>UPPER('Información general'!L34)</f>
        <v>=SOFTWARE!B20</v>
      </c>
      <c r="G32" s="473"/>
      <c r="H32" s="473"/>
      <c r="I32" s="473"/>
      <c r="J32" s="473"/>
      <c r="K32" s="66"/>
      <c r="L32" s="471"/>
      <c r="M32" s="471"/>
      <c r="N32" s="471"/>
      <c r="O32" s="471"/>
      <c r="P32" s="471"/>
    </row>
    <row r="33" spans="2:16" s="62" customFormat="1" ht="18" x14ac:dyDescent="0.25">
      <c r="B33" s="66"/>
      <c r="C33" s="68"/>
      <c r="D33" s="68"/>
      <c r="E33" s="68"/>
      <c r="F33" s="66"/>
      <c r="G33" s="66"/>
      <c r="H33" s="66"/>
      <c r="I33" s="66"/>
      <c r="J33" s="66"/>
      <c r="K33" s="66"/>
      <c r="L33" s="471"/>
      <c r="M33" s="471"/>
      <c r="N33" s="471"/>
      <c r="O33" s="471"/>
      <c r="P33" s="471"/>
    </row>
    <row r="34" spans="2:16" s="62" customFormat="1" ht="18" x14ac:dyDescent="0.25">
      <c r="B34" s="466" t="s">
        <v>11</v>
      </c>
      <c r="C34" s="466"/>
      <c r="D34" s="466"/>
      <c r="E34" s="466"/>
      <c r="F34" s="473" t="str">
        <f>UPPER('Información general'!L35)</f>
        <v>0</v>
      </c>
      <c r="G34" s="473"/>
      <c r="H34" s="473"/>
      <c r="I34" s="473"/>
      <c r="J34" s="473"/>
      <c r="K34" s="66"/>
      <c r="L34" s="471"/>
      <c r="M34" s="471"/>
      <c r="N34" s="471"/>
      <c r="O34" s="471"/>
      <c r="P34" s="471"/>
    </row>
    <row r="35" spans="2:16" s="62" customFormat="1" ht="18" x14ac:dyDescent="0.25">
      <c r="B35" s="66"/>
      <c r="C35" s="68"/>
      <c r="D35" s="68"/>
      <c r="E35" s="68"/>
      <c r="F35" s="66"/>
      <c r="G35" s="66"/>
      <c r="H35" s="66"/>
      <c r="I35" s="66"/>
      <c r="J35" s="66"/>
      <c r="K35" s="66"/>
      <c r="L35" s="471"/>
      <c r="M35" s="471"/>
      <c r="N35" s="471"/>
      <c r="O35" s="471"/>
      <c r="P35" s="471"/>
    </row>
    <row r="36" spans="2:16" s="62" customFormat="1" ht="18" x14ac:dyDescent="0.25">
      <c r="B36" s="466" t="s">
        <v>351</v>
      </c>
      <c r="C36" s="466"/>
      <c r="D36" s="466"/>
      <c r="E36" s="466"/>
      <c r="F36" s="472" t="str">
        <f>UPPER('Información general'!L36)</f>
        <v>0</v>
      </c>
      <c r="G36" s="472"/>
      <c r="H36" s="472"/>
      <c r="I36" s="472"/>
      <c r="J36" s="472"/>
      <c r="K36" s="66"/>
      <c r="L36" s="471"/>
      <c r="M36" s="471"/>
      <c r="N36" s="471"/>
      <c r="O36" s="471"/>
      <c r="P36" s="471"/>
    </row>
    <row r="37" spans="2:16" s="62" customFormat="1" ht="18" x14ac:dyDescent="0.25">
      <c r="B37" s="66"/>
      <c r="C37" s="68"/>
      <c r="D37" s="68"/>
      <c r="E37" s="68"/>
      <c r="F37" s="66"/>
      <c r="G37" s="66"/>
      <c r="H37" s="66"/>
      <c r="I37" s="66"/>
      <c r="J37" s="66"/>
      <c r="K37" s="66"/>
      <c r="L37" s="471"/>
      <c r="M37" s="471"/>
      <c r="N37" s="471"/>
      <c r="O37" s="471"/>
      <c r="P37" s="471"/>
    </row>
    <row r="38" spans="2:16" s="62" customFormat="1" ht="18" x14ac:dyDescent="0.25">
      <c r="B38" s="466" t="s">
        <v>473</v>
      </c>
      <c r="C38" s="466"/>
      <c r="D38" s="466"/>
      <c r="E38" s="466"/>
      <c r="F38" s="472" t="str">
        <f>UPPER('Información general'!L41)</f>
        <v/>
      </c>
      <c r="G38" s="472"/>
      <c r="H38" s="472"/>
      <c r="I38" s="472"/>
      <c r="J38" s="472"/>
      <c r="K38" s="66"/>
      <c r="L38" s="471"/>
      <c r="M38" s="471"/>
      <c r="N38" s="471"/>
      <c r="O38" s="471"/>
      <c r="P38" s="471"/>
    </row>
    <row r="39" spans="2:16" s="62" customFormat="1" ht="18" x14ac:dyDescent="0.25">
      <c r="B39" s="66"/>
      <c r="C39" s="68"/>
      <c r="D39" s="68"/>
      <c r="E39" s="68"/>
      <c r="F39" s="66"/>
      <c r="G39" s="66"/>
      <c r="H39" s="66"/>
      <c r="I39" s="66"/>
      <c r="J39" s="66"/>
      <c r="K39" s="66"/>
      <c r="L39" s="471"/>
      <c r="M39" s="471"/>
      <c r="N39" s="471"/>
      <c r="O39" s="471"/>
      <c r="P39" s="471"/>
    </row>
    <row r="40" spans="2:16" s="62" customFormat="1" ht="18" x14ac:dyDescent="0.25">
      <c r="B40" s="466" t="s">
        <v>13</v>
      </c>
      <c r="C40" s="466"/>
      <c r="D40" s="466"/>
      <c r="E40" s="466"/>
      <c r="F40" s="473" t="str">
        <f>_xlfn.CONCAT('Información general'!L37," ",'Información general'!N37)</f>
        <v xml:space="preserve"> psi</v>
      </c>
      <c r="G40" s="473"/>
      <c r="H40" s="473"/>
      <c r="I40" s="473"/>
      <c r="J40" s="473"/>
      <c r="K40" s="66"/>
      <c r="L40" s="471"/>
      <c r="M40" s="471"/>
      <c r="N40" s="471"/>
      <c r="O40" s="471"/>
      <c r="P40" s="471"/>
    </row>
    <row r="41" spans="2:16" s="62" customFormat="1" ht="18" x14ac:dyDescent="0.25">
      <c r="B41" s="66"/>
      <c r="C41" s="68"/>
      <c r="D41" s="68"/>
      <c r="E41" s="68"/>
      <c r="F41" s="66"/>
      <c r="G41" s="66"/>
      <c r="H41" s="66"/>
      <c r="I41" s="66"/>
      <c r="J41" s="66"/>
      <c r="K41" s="66"/>
      <c r="L41" s="471"/>
      <c r="M41" s="471"/>
      <c r="N41" s="471"/>
      <c r="O41" s="471"/>
      <c r="P41" s="471"/>
    </row>
    <row r="42" spans="2:16" s="62" customFormat="1" ht="18" x14ac:dyDescent="0.25">
      <c r="B42" s="466" t="s">
        <v>14</v>
      </c>
      <c r="C42" s="466"/>
      <c r="D42" s="466"/>
      <c r="E42" s="466"/>
      <c r="F42" s="473" t="str">
        <f>_xlfn.CONCAT('Información general'!L38," ",'Información general'!N37," hasta ",'Información general'!M38," ",'Información general'!N37)</f>
        <v>0 psi hasta 0 psi</v>
      </c>
      <c r="G42" s="473"/>
      <c r="H42" s="473"/>
      <c r="I42" s="473"/>
      <c r="J42" s="473"/>
      <c r="K42" s="66"/>
      <c r="L42" s="471"/>
      <c r="M42" s="471"/>
      <c r="N42" s="471"/>
      <c r="O42" s="471"/>
      <c r="P42" s="471"/>
    </row>
    <row r="43" spans="2:16" s="62" customFormat="1" ht="18" x14ac:dyDescent="0.25">
      <c r="B43" s="66"/>
      <c r="C43" s="68"/>
      <c r="D43" s="68"/>
      <c r="E43" s="68"/>
      <c r="F43" s="66"/>
      <c r="G43" s="66"/>
      <c r="H43" s="66"/>
      <c r="I43" s="66"/>
      <c r="J43" s="66"/>
      <c r="K43" s="66"/>
      <c r="L43" s="471"/>
      <c r="M43" s="471"/>
      <c r="N43" s="471"/>
      <c r="O43" s="471"/>
      <c r="P43" s="471"/>
    </row>
    <row r="44" spans="2:16" s="62" customFormat="1" ht="18" x14ac:dyDescent="0.25">
      <c r="B44" s="466" t="s">
        <v>15</v>
      </c>
      <c r="C44" s="466"/>
      <c r="D44" s="466"/>
      <c r="E44" s="466"/>
      <c r="F44" s="473" t="str">
        <f>_xlfn.CONCAT('Información general'!L39," ",'Información general'!N37," hasta ",'Información general'!M39," ",'Información general'!N37)</f>
        <v xml:space="preserve"> psi hasta  psi</v>
      </c>
      <c r="G44" s="473"/>
      <c r="H44" s="473"/>
      <c r="I44" s="473"/>
      <c r="J44" s="473"/>
      <c r="K44" s="66"/>
      <c r="L44" s="471"/>
      <c r="M44" s="471"/>
      <c r="N44" s="471"/>
      <c r="O44" s="471"/>
      <c r="P44" s="471"/>
    </row>
    <row r="45" spans="2:16" s="62" customFormat="1" ht="18" x14ac:dyDescent="0.25">
      <c r="B45" s="66"/>
      <c r="C45" s="68"/>
      <c r="D45" s="68"/>
      <c r="E45" s="68"/>
      <c r="F45" s="66"/>
      <c r="G45" s="66"/>
      <c r="H45" s="66"/>
      <c r="I45" s="66"/>
      <c r="J45" s="66"/>
      <c r="K45" s="66"/>
      <c r="L45" s="471"/>
      <c r="M45" s="471"/>
      <c r="N45" s="471"/>
      <c r="O45" s="471"/>
      <c r="P45" s="471"/>
    </row>
    <row r="46" spans="2:16" s="62" customFormat="1" ht="18" x14ac:dyDescent="0.25">
      <c r="B46" s="466" t="s">
        <v>17</v>
      </c>
      <c r="C46" s="466"/>
      <c r="D46" s="466"/>
      <c r="E46" s="466"/>
      <c r="F46" s="467">
        <f>'Información general'!E45</f>
        <v>0</v>
      </c>
      <c r="G46" s="467"/>
      <c r="H46" s="467"/>
      <c r="I46" s="467"/>
      <c r="J46" s="467"/>
      <c r="K46" s="66"/>
      <c r="L46" s="471"/>
      <c r="M46" s="471"/>
      <c r="N46" s="471"/>
      <c r="O46" s="471"/>
      <c r="P46" s="471"/>
    </row>
    <row r="47" spans="2:16" s="62" customFormat="1" ht="18" x14ac:dyDescent="0.25">
      <c r="B47" s="66"/>
      <c r="C47" s="68"/>
      <c r="D47" s="68"/>
      <c r="E47" s="68"/>
      <c r="F47" s="66"/>
      <c r="G47" s="66"/>
      <c r="H47" s="66"/>
      <c r="I47" s="66"/>
      <c r="J47" s="66"/>
      <c r="K47" s="66"/>
      <c r="L47" s="471"/>
      <c r="M47" s="471"/>
      <c r="N47" s="471"/>
      <c r="O47" s="471"/>
      <c r="P47" s="471"/>
    </row>
    <row r="48" spans="2:16" s="62" customFormat="1" ht="18" x14ac:dyDescent="0.25">
      <c r="B48" s="466" t="s">
        <v>352</v>
      </c>
      <c r="C48" s="466"/>
      <c r="D48" s="466"/>
      <c r="E48" s="466"/>
      <c r="F48" s="467">
        <f>'Información general'!E46</f>
        <v>0</v>
      </c>
      <c r="G48" s="467"/>
      <c r="H48" s="467"/>
      <c r="I48" s="467"/>
      <c r="J48" s="467"/>
      <c r="K48" s="66"/>
      <c r="L48" s="471"/>
      <c r="M48" s="471"/>
      <c r="N48" s="471"/>
      <c r="O48" s="471"/>
      <c r="P48" s="471"/>
    </row>
    <row r="49" spans="2:16" s="62" customFormat="1" ht="18" x14ac:dyDescent="0.25">
      <c r="B49" s="66"/>
      <c r="C49" s="68"/>
      <c r="D49" s="68"/>
      <c r="E49" s="68"/>
      <c r="F49" s="66"/>
      <c r="G49" s="66"/>
      <c r="H49" s="66"/>
      <c r="I49" s="66"/>
      <c r="J49" s="66"/>
      <c r="K49" s="66"/>
      <c r="L49" s="471"/>
      <c r="M49" s="471"/>
      <c r="N49" s="471"/>
      <c r="O49" s="471"/>
      <c r="P49" s="471"/>
    </row>
    <row r="50" spans="2:16" s="62" customFormat="1" ht="18" x14ac:dyDescent="0.25">
      <c r="B50" s="466" t="s">
        <v>353</v>
      </c>
      <c r="C50" s="466"/>
      <c r="D50" s="466"/>
      <c r="E50" s="466"/>
      <c r="F50" s="467">
        <f>'Información general'!E47</f>
        <v>0</v>
      </c>
      <c r="G50" s="467"/>
      <c r="H50" s="467"/>
      <c r="I50" s="467"/>
      <c r="J50" s="467"/>
      <c r="K50" s="66"/>
      <c r="L50" s="471"/>
      <c r="M50" s="471"/>
      <c r="N50" s="471"/>
      <c r="O50" s="471"/>
      <c r="P50" s="471"/>
    </row>
    <row r="51" spans="2:16" s="62" customFormat="1" ht="18" x14ac:dyDescent="0.25"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471"/>
      <c r="M51" s="471"/>
      <c r="N51" s="471"/>
      <c r="O51" s="471"/>
      <c r="P51" s="471"/>
    </row>
    <row r="52" spans="2:16" s="62" customFormat="1" ht="18" x14ac:dyDescent="0.25"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9"/>
      <c r="M52" s="69"/>
      <c r="N52" s="69"/>
      <c r="O52" s="69"/>
      <c r="P52" s="69"/>
    </row>
    <row r="53" spans="2:16" s="62" customFormat="1" ht="18" x14ac:dyDescent="0.25">
      <c r="B53" s="468" t="s">
        <v>354</v>
      </c>
      <c r="C53" s="465"/>
      <c r="D53" s="465"/>
      <c r="E53" s="465"/>
      <c r="F53" s="465"/>
      <c r="H53" s="66"/>
      <c r="I53" s="66"/>
      <c r="J53" s="66"/>
      <c r="K53" s="66"/>
      <c r="L53" s="69"/>
      <c r="M53" s="69"/>
      <c r="N53" s="69"/>
      <c r="O53" s="69"/>
      <c r="P53" s="69"/>
    </row>
    <row r="54" spans="2:16" s="62" customFormat="1" ht="18" x14ac:dyDescent="0.25">
      <c r="B54" s="66"/>
      <c r="H54" s="66"/>
      <c r="I54" s="66"/>
      <c r="J54" s="66"/>
      <c r="K54" s="66"/>
      <c r="L54" s="66"/>
      <c r="M54" s="66"/>
      <c r="N54" s="66"/>
      <c r="O54" s="66"/>
      <c r="P54" s="66"/>
    </row>
    <row r="55" spans="2:16" s="62" customFormat="1" ht="18" x14ac:dyDescent="0.25">
      <c r="B55" s="70" t="s">
        <v>355</v>
      </c>
      <c r="C55" s="465" t="str">
        <f>_xlfn.CONCAT("El ítem ",LOWER(F28),", fabricante ",F30,", modelo ",F32," y con número de serie ",F34," fue suministrado por el cliente.")</f>
        <v>El ítem 0, fabricante 0, modelo =SOFTWARE!B20 y con número de serie 0 fue suministrado por el cliente.</v>
      </c>
      <c r="D55" s="465"/>
      <c r="E55" s="465"/>
      <c r="F55" s="465"/>
      <c r="G55" s="465"/>
      <c r="H55" s="465"/>
      <c r="I55" s="465"/>
      <c r="J55" s="465"/>
      <c r="K55" s="465"/>
      <c r="L55" s="465"/>
      <c r="M55" s="465"/>
      <c r="N55" s="465"/>
      <c r="O55" s="465"/>
      <c r="P55" s="465"/>
    </row>
    <row r="56" spans="2:16" s="62" customFormat="1" ht="18" x14ac:dyDescent="0.25">
      <c r="B56" s="70" t="s">
        <v>356</v>
      </c>
      <c r="C56" s="465">
        <f>IF('Información general'!D53='Equipamiento y listas'!B42,"Se usó una bomba hidráulica como generador de presión durante la calibración. El fluido de prueba fue agua.",IF('Información general'!D53='Equipamiento y listas'!B41,"Se usó una bomba neumática como generador de presión durante la calibración. El fluido de prueba fue aire.",0))</f>
        <v>0</v>
      </c>
      <c r="D56" s="465"/>
      <c r="E56" s="465"/>
      <c r="F56" s="465"/>
      <c r="G56" s="465"/>
      <c r="H56" s="465"/>
      <c r="I56" s="465"/>
      <c r="J56" s="465"/>
      <c r="K56" s="465"/>
      <c r="L56" s="465"/>
      <c r="M56" s="465"/>
      <c r="N56" s="465"/>
      <c r="O56" s="465"/>
      <c r="P56" s="465"/>
    </row>
    <row r="57" spans="2:16" s="62" customFormat="1" ht="18" x14ac:dyDescent="0.25">
      <c r="B57" s="70" t="s">
        <v>357</v>
      </c>
      <c r="C57" s="465" t="str">
        <f>_xlfn.CONCAT("La diferencia de altura entre el instrumento patrón y el instrumento bajo calibración (en ese orden) fue ",ROUND('Información general'!H53-'Información general'!H55,1)," mm.")</f>
        <v>La diferencia de altura entre el instrumento patrón y el instrumento bajo calibración (en ese orden) fue 0 mm.</v>
      </c>
      <c r="D57" s="465"/>
      <c r="E57" s="465"/>
      <c r="F57" s="465"/>
      <c r="G57" s="465"/>
      <c r="H57" s="465"/>
      <c r="I57" s="465"/>
      <c r="J57" s="465"/>
      <c r="K57" s="465"/>
      <c r="L57" s="465"/>
      <c r="M57" s="465"/>
      <c r="N57" s="465"/>
      <c r="O57" s="465"/>
      <c r="P57" s="465"/>
    </row>
    <row r="58" spans="2:16" s="62" customFormat="1" ht="18" x14ac:dyDescent="0.25">
      <c r="B58" s="70" t="str">
        <f>IF(ISBLANK(C58),"","iv.")</f>
        <v>iv.</v>
      </c>
      <c r="C58" s="384" t="b">
        <f>IF('Información general'!E41='Equipamiento y listas'!B47,_xlfn.CONCAT("Modificación ",'Información general'!E42," al certificado de calibración con código ",'Información general'!E40,". Se modifica ",'Información general'!K47))</f>
        <v>0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</row>
    <row r="59" spans="2:16" s="62" customFormat="1" ht="18" x14ac:dyDescent="0.25">
      <c r="B59" s="70"/>
      <c r="C59" s="384"/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</row>
    <row r="60" spans="2:16" s="62" customFormat="1" ht="18" x14ac:dyDescent="0.25">
      <c r="B60" s="70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</row>
    <row r="61" spans="2:16" s="62" customFormat="1" ht="18" x14ac:dyDescent="0.25"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</row>
    <row r="62" spans="2:16" s="62" customFormat="1" ht="15.6" customHeight="1" x14ac:dyDescent="0.2">
      <c r="B62" s="395" t="s">
        <v>358</v>
      </c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63"/>
    </row>
    <row r="63" spans="2:16" s="62" customFormat="1" ht="15.6" customHeight="1" x14ac:dyDescent="0.2">
      <c r="B63" s="395"/>
      <c r="C63" s="395"/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63"/>
    </row>
    <row r="64" spans="2:16" s="62" customFormat="1" x14ac:dyDescent="0.2"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</row>
    <row r="65" spans="2:34" s="62" customFormat="1" ht="17.45" customHeight="1" x14ac:dyDescent="0.2">
      <c r="B65" s="63"/>
      <c r="C65" s="384" t="e">
        <f>_xlfn.CONCAT("Durante la calibración, la temperatura ambiente estuvo entre ",TEXT(MIN('Toma de datos'!E66,'Toma de datos'!E105),"0.00")," °C y ",TEXT(MAX('Toma de datos'!E105,'Toma de datos'!E66),"0.00")," °C y la humedad relativa estuvo entre ",TEXT(MIN('Toma de datos'!K66,'Toma de datos'!K105),"0.00")," %hr y ",TEXT(MAX('Toma de datos'!K105,'Toma de datos'!K66),"0.00")," %hr. Las condiciones ambientales fueron medidas con el ",LOWER('Información general'!L60)," de código interno ",'Información general'!H60,", calibrado por última vez el día ",TEXT('Información general'!D62,"yyyy-mm-dd")," (código del certificado: ",'Información general'!H62, ") y cuya fecha de próxima calibración es ",TEXT('Información general'!L61,"yyyy-mm-dd"),".")</f>
        <v>#N/A</v>
      </c>
      <c r="D65" s="384"/>
      <c r="E65" s="384"/>
      <c r="F65" s="384"/>
      <c r="G65" s="384"/>
      <c r="H65" s="384"/>
      <c r="I65" s="384"/>
      <c r="J65" s="384"/>
      <c r="K65" s="384"/>
      <c r="L65" s="384"/>
      <c r="M65" s="384"/>
      <c r="N65" s="384"/>
      <c r="O65" s="384"/>
      <c r="P65" s="384"/>
    </row>
    <row r="66" spans="2:34" s="62" customFormat="1" ht="15.6" customHeight="1" x14ac:dyDescent="0.2">
      <c r="B66" s="63"/>
      <c r="C66" s="384"/>
      <c r="D66" s="384"/>
      <c r="E66" s="384"/>
      <c r="F66" s="384"/>
      <c r="G66" s="384"/>
      <c r="H66" s="384"/>
      <c r="I66" s="384"/>
      <c r="J66" s="384"/>
      <c r="K66" s="384"/>
      <c r="L66" s="384"/>
      <c r="M66" s="384"/>
      <c r="N66" s="384"/>
      <c r="O66" s="384"/>
      <c r="P66" s="384"/>
    </row>
    <row r="67" spans="2:34" s="62" customFormat="1" ht="15.6" customHeight="1" x14ac:dyDescent="0.2">
      <c r="B67" s="63"/>
      <c r="C67" s="384"/>
      <c r="D67" s="384"/>
      <c r="E67" s="384"/>
      <c r="F67" s="384"/>
      <c r="G67" s="384"/>
      <c r="H67" s="384"/>
      <c r="I67" s="384"/>
      <c r="J67" s="384"/>
      <c r="K67" s="384"/>
      <c r="L67" s="384"/>
      <c r="M67" s="384"/>
      <c r="N67" s="384"/>
      <c r="O67" s="384"/>
      <c r="P67" s="384"/>
    </row>
    <row r="68" spans="2:34" s="62" customFormat="1" ht="18" x14ac:dyDescent="0.25">
      <c r="B68" s="66"/>
      <c r="C68" s="384"/>
      <c r="D68" s="384"/>
      <c r="E68" s="384"/>
      <c r="F68" s="384"/>
      <c r="G68" s="384"/>
      <c r="H68" s="384"/>
      <c r="I68" s="384"/>
      <c r="J68" s="384"/>
      <c r="K68" s="384"/>
      <c r="L68" s="384"/>
      <c r="M68" s="384"/>
      <c r="N68" s="384"/>
      <c r="O68" s="384"/>
      <c r="P68" s="384"/>
    </row>
    <row r="69" spans="2:34" s="62" customFormat="1" ht="18" x14ac:dyDescent="0.25">
      <c r="B69" s="66"/>
      <c r="C69" s="66"/>
      <c r="D69" s="66"/>
      <c r="E69" s="66"/>
      <c r="F69" s="66"/>
      <c r="G69" s="66"/>
      <c r="H69" s="66"/>
      <c r="I69" s="66"/>
      <c r="J69" s="66"/>
      <c r="K69" s="66"/>
      <c r="O69" s="66"/>
      <c r="P69" s="66"/>
    </row>
    <row r="70" spans="2:34" s="62" customFormat="1" ht="18" x14ac:dyDescent="0.25">
      <c r="B70" s="66"/>
      <c r="H70" s="385" t="str">
        <f>O8</f>
        <v>pág 1 de 3</v>
      </c>
      <c r="I70" s="385"/>
      <c r="J70" s="385"/>
      <c r="K70" s="385"/>
      <c r="L70" s="66"/>
      <c r="M70" s="66"/>
      <c r="N70" s="66"/>
      <c r="O70" s="66"/>
      <c r="P70" s="66"/>
    </row>
    <row r="71" spans="2:34" s="62" customFormat="1" ht="18" x14ac:dyDescent="0.25">
      <c r="B71" s="63"/>
      <c r="H71" s="385" t="s">
        <v>359</v>
      </c>
      <c r="I71" s="385"/>
      <c r="J71" s="385"/>
      <c r="K71" s="385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:34" s="62" customFormat="1" ht="15.6" customHeight="1" x14ac:dyDescent="0.2">
      <c r="B72" s="63"/>
      <c r="C72" s="63"/>
      <c r="D72" s="63"/>
      <c r="E72" s="63"/>
      <c r="F72" s="63"/>
      <c r="G72" s="63"/>
      <c r="H72" s="63"/>
      <c r="I72" s="393" t="str">
        <f>_xlfn.CONCAT("Código del certificado: ",IF('Información general'!E41='Equipamiento y listas'!B46,'Información general'!E40,IF('Información general'!E41='Equipamiento y listas'!B47,_xlfn.CONCAT('Información general'!E40,"-",'Información general'!E42))))</f>
        <v>Código del certificado: 0</v>
      </c>
      <c r="J72" s="393"/>
      <c r="K72" s="393"/>
      <c r="L72" s="393"/>
      <c r="M72" s="393"/>
      <c r="N72" s="393"/>
      <c r="O72" s="394" t="s">
        <v>360</v>
      </c>
      <c r="P72" s="394"/>
    </row>
    <row r="73" spans="2:34" s="62" customFormat="1" ht="15.6" customHeight="1" x14ac:dyDescent="0.2">
      <c r="B73" s="63"/>
      <c r="C73" s="63"/>
      <c r="D73" s="63"/>
      <c r="E73" s="63"/>
      <c r="F73" s="63"/>
      <c r="G73" s="63"/>
      <c r="H73" s="63"/>
      <c r="I73" s="393"/>
      <c r="J73" s="393"/>
      <c r="K73" s="393"/>
      <c r="L73" s="393"/>
      <c r="M73" s="393"/>
      <c r="N73" s="393"/>
      <c r="O73" s="394"/>
      <c r="P73" s="394"/>
    </row>
    <row r="74" spans="2:34" s="62" customFormat="1" ht="15.6" customHeight="1" x14ac:dyDescent="0.2"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</row>
    <row r="75" spans="2:34" s="62" customFormat="1" ht="14.1" customHeight="1" x14ac:dyDescent="0.2">
      <c r="B75" s="395" t="s">
        <v>361</v>
      </c>
      <c r="C75" s="395"/>
      <c r="D75" s="395"/>
      <c r="E75" s="395"/>
      <c r="F75" s="395"/>
      <c r="G75" s="395"/>
      <c r="H75" s="395"/>
      <c r="I75" s="395"/>
      <c r="J75" s="395"/>
      <c r="K75" s="395"/>
      <c r="L75" s="395"/>
      <c r="M75" s="395"/>
      <c r="N75" s="395"/>
      <c r="O75" s="395"/>
      <c r="P75" s="63"/>
    </row>
    <row r="76" spans="2:34" s="62" customFormat="1" ht="15.6" customHeight="1" x14ac:dyDescent="0.2">
      <c r="B76" s="395"/>
      <c r="C76" s="395"/>
      <c r="D76" s="395"/>
      <c r="E76" s="395"/>
      <c r="F76" s="395"/>
      <c r="G76" s="395"/>
      <c r="H76" s="395"/>
      <c r="I76" s="395"/>
      <c r="J76" s="395"/>
      <c r="K76" s="395"/>
      <c r="L76" s="395"/>
      <c r="M76" s="395"/>
      <c r="N76" s="395"/>
      <c r="O76" s="395"/>
      <c r="P76" s="63"/>
    </row>
    <row r="77" spans="2:34" s="62" customFormat="1" x14ac:dyDescent="0.2">
      <c r="I77" s="63"/>
      <c r="J77" s="63"/>
      <c r="K77" s="63"/>
      <c r="L77" s="63"/>
      <c r="M77" s="63"/>
      <c r="N77" s="63"/>
      <c r="O77" s="63"/>
      <c r="P77" s="63"/>
    </row>
    <row r="78" spans="2:34" s="62" customFormat="1" ht="17.45" customHeight="1" x14ac:dyDescent="0.2">
      <c r="C78" s="460" t="s">
        <v>370</v>
      </c>
      <c r="D78" s="460"/>
      <c r="E78" s="460"/>
      <c r="F78" s="460"/>
      <c r="G78" s="460"/>
      <c r="H78" s="460"/>
      <c r="I78" s="460"/>
      <c r="J78" s="460"/>
      <c r="K78" s="460"/>
      <c r="L78" s="460"/>
      <c r="M78" s="460"/>
      <c r="N78" s="460"/>
      <c r="O78" s="460"/>
      <c r="P78" s="460"/>
    </row>
    <row r="79" spans="2:34" s="62" customFormat="1" ht="17.45" customHeight="1" x14ac:dyDescent="0.2">
      <c r="C79" s="460"/>
      <c r="D79" s="460"/>
      <c r="E79" s="460"/>
      <c r="F79" s="460"/>
      <c r="G79" s="460"/>
      <c r="H79" s="460"/>
      <c r="I79" s="460"/>
      <c r="J79" s="460"/>
      <c r="K79" s="460"/>
      <c r="L79" s="460"/>
      <c r="M79" s="460"/>
      <c r="N79" s="460"/>
      <c r="O79" s="460"/>
      <c r="P79" s="460"/>
    </row>
    <row r="80" spans="2:34" s="62" customFormat="1" x14ac:dyDescent="0.2">
      <c r="I80" s="63"/>
      <c r="J80" s="63"/>
      <c r="K80" s="63"/>
      <c r="L80" s="63"/>
      <c r="M80" s="63"/>
      <c r="N80" s="63"/>
      <c r="O80" s="63"/>
      <c r="P80" s="63"/>
    </row>
    <row r="81" spans="2:16" s="62" customFormat="1" x14ac:dyDescent="0.2"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</row>
    <row r="82" spans="2:16" s="62" customFormat="1" ht="15.6" customHeight="1" x14ac:dyDescent="0.2">
      <c r="B82" s="395" t="s">
        <v>406</v>
      </c>
      <c r="C82" s="395"/>
      <c r="D82" s="395"/>
      <c r="E82" s="395"/>
      <c r="F82" s="395"/>
      <c r="G82" s="395"/>
      <c r="H82" s="395"/>
      <c r="I82" s="395"/>
      <c r="J82" s="395"/>
      <c r="K82" s="395"/>
      <c r="L82" s="395"/>
      <c r="M82" s="395"/>
      <c r="N82" s="395"/>
      <c r="O82" s="395"/>
      <c r="P82" s="63"/>
    </row>
    <row r="83" spans="2:16" s="62" customFormat="1" ht="15.6" customHeight="1" x14ac:dyDescent="0.2">
      <c r="B83" s="395"/>
      <c r="C83" s="395"/>
      <c r="D83" s="395"/>
      <c r="E83" s="395"/>
      <c r="F83" s="395"/>
      <c r="G83" s="395"/>
      <c r="H83" s="395"/>
      <c r="I83" s="395"/>
      <c r="J83" s="395"/>
      <c r="K83" s="395"/>
      <c r="L83" s="395"/>
      <c r="M83" s="395"/>
      <c r="N83" s="395"/>
      <c r="O83" s="395"/>
      <c r="P83" s="63"/>
    </row>
    <row r="84" spans="2:16" s="62" customFormat="1" ht="15.6" customHeight="1" x14ac:dyDescent="0.2">
      <c r="P84" s="63"/>
    </row>
    <row r="85" spans="2:16" s="62" customFormat="1" ht="15.6" customHeight="1" x14ac:dyDescent="0.2">
      <c r="C85" s="442" t="s">
        <v>239</v>
      </c>
      <c r="D85" s="443"/>
      <c r="E85" s="443"/>
      <c r="F85" s="443"/>
      <c r="G85" s="444"/>
      <c r="H85" s="386" t="str">
        <f>_xlfn.CONCAT("Indicación, [",'Información general'!N37,"]")</f>
        <v>Indicación, [psi]</v>
      </c>
      <c r="I85" s="451" t="str">
        <f>_xlfn.CONCAT("Indicación del patrón, [",'Información general'!N37,"]")</f>
        <v>Indicación del patrón, [psi]</v>
      </c>
      <c r="J85" s="426" t="str">
        <f>_xlfn.CONCAT("Indicación del IBC,
 [",'Información general'!N37,"]")</f>
        <v>Indicación del IBC,
 [psi]</v>
      </c>
      <c r="K85" s="426" t="str">
        <f>_xlfn.CONCAT("Corrección, [",'Información general'!N37,"]")</f>
        <v>Corrección, [psi]</v>
      </c>
      <c r="L85" s="454"/>
      <c r="M85" s="389" t="str">
        <f>_xlfn.CONCAT("EMP, [",'Información general'!N37,"]")</f>
        <v>EMP, [psi]</v>
      </c>
      <c r="N85" s="426" t="s">
        <v>464</v>
      </c>
      <c r="O85" s="427"/>
    </row>
    <row r="86" spans="2:16" s="62" customFormat="1" ht="15.6" customHeight="1" x14ac:dyDescent="0.2">
      <c r="C86" s="445"/>
      <c r="D86" s="446"/>
      <c r="E86" s="446"/>
      <c r="F86" s="446"/>
      <c r="G86" s="447"/>
      <c r="H86" s="387"/>
      <c r="I86" s="452"/>
      <c r="J86" s="428"/>
      <c r="K86" s="428"/>
      <c r="L86" s="455"/>
      <c r="M86" s="390"/>
      <c r="N86" s="428"/>
      <c r="O86" s="429"/>
    </row>
    <row r="87" spans="2:16" s="62" customFormat="1" ht="15.6" customHeight="1" x14ac:dyDescent="0.2">
      <c r="C87" s="448"/>
      <c r="D87" s="449"/>
      <c r="E87" s="449"/>
      <c r="F87" s="449"/>
      <c r="G87" s="450"/>
      <c r="H87" s="388"/>
      <c r="I87" s="453"/>
      <c r="J87" s="430"/>
      <c r="K87" s="430"/>
      <c r="L87" s="456"/>
      <c r="M87" s="391"/>
      <c r="N87" s="430"/>
      <c r="O87" s="431"/>
    </row>
    <row r="88" spans="2:16" s="62" customFormat="1" ht="15.6" customHeight="1" x14ac:dyDescent="0.2">
      <c r="C88" s="436" t="s">
        <v>243</v>
      </c>
      <c r="D88" s="437"/>
      <c r="E88" s="434" t="str">
        <f>_xlfn.CONCAT(FIXED('Información general'!L38,IF(INT('Información general'!$L$40)-'Información general'!$L$40=0,0,LEN(MID('Información general'!$L$40,SEARCH(".",'Información general'!$L$40)+1,100))))," ",'Información general'!N37," - ",FIXED(('Información general'!M38-'Información general'!L38)/3,IF(INT('Información general'!$L$40)-'Información general'!$L$40=0,0,LEN(MID('Información general'!$L$40,SEARCH(".",'Información general'!$L$40)+1,100))))," ",'Información general'!N37)</f>
        <v>0 psi - 0 psi</v>
      </c>
      <c r="F88" s="435"/>
      <c r="G88" s="435"/>
      <c r="H88" s="86" t="str">
        <f>FIXED('Toma de datos'!G30,IF(INT('Información general'!$L$40)-'Información general'!$L$40=0,0,LEN(MID('Información general'!$L$40,SEARCH(".",'Información general'!$L$40)+1,100))))</f>
        <v>0</v>
      </c>
      <c r="I88" s="86" t="e">
        <f>FIXED('Toma de datos'!I30*LOOKUP('Información general'!L53,'Equipamiento y listas'!J36:J48,'Equipamiento y listas'!L36:L48)*LOOKUP('Información general'!N37,'Equipamiento y listas'!K49:K61,'Equipamiento y listas'!L49:L61),IF(INT('Información general'!$H$69)-'Información general'!$H$69=0,0,LEN(MID('Información general'!$H$69,SEARCH(".",'Información general'!$H$69)+1,100))))</f>
        <v>#N/A</v>
      </c>
      <c r="J88" s="86" t="str">
        <f>FIXED('Toma de datos'!J30,IF(INT('Información general'!$L$40)-'Información general'!$L$40=0,0,LEN(MID('Información general'!$L$40,SEARCH(".",'Información general'!$L$40)+1,100))))</f>
        <v>0</v>
      </c>
      <c r="K88" s="404" t="e">
        <f ca="1">FIXED('Toma de datos'!K30,IF(INT('Información general'!$L$40)-'Información general'!$L$40=0,0,LEN(MID('Información general'!$L$40,SEARCH(".",'Información general'!$L$40)+1,100))))</f>
        <v>#N/A</v>
      </c>
      <c r="L88" s="404"/>
      <c r="M88" s="86" t="str">
        <f>FIXED('Toma de datos'!H30,IF(INT('Información general'!$L$40)-'Información general'!$L$40=0,0,LEN(MID('Información general'!$L$40,SEARCH(".",'Información general'!$L$40)+1,100))))</f>
        <v>0</v>
      </c>
      <c r="N88" s="404" t="e">
        <f ca="1">IF(ABS(K88)&lt;M88,"Sí","No")</f>
        <v>#N/A</v>
      </c>
      <c r="O88" s="404"/>
    </row>
    <row r="89" spans="2:16" s="62" customFormat="1" ht="15.6" customHeight="1" x14ac:dyDescent="0.2">
      <c r="C89" s="438" t="s">
        <v>404</v>
      </c>
      <c r="D89" s="439"/>
      <c r="E89" s="432" t="str">
        <f>_xlfn.CONCAT(FIXED(('Información general'!M38-'Información general'!L38)/3,IF(INT('Información general'!$L$40)-'Información general'!$L$40=0,0,LEN(MID('Información general'!$L$40,SEARCH(".",'Información general'!$L$40)+1,100))))," ",'Información general'!N37," - ",FIXED(2*('Información general'!M38-'Información general'!L38)/3,IF(INT('Información general'!$L$40)-'Información general'!$L$40=0,0,LEN(MID('Información general'!$L$40,SEARCH(".",'Información general'!$L$40)+1,100))))," ",'Información general'!N37)</f>
        <v>0 psi - 0 psi</v>
      </c>
      <c r="F89" s="433"/>
      <c r="G89" s="433"/>
      <c r="H89" s="86" t="str">
        <f>FIXED('Toma de datos'!G31,IF(INT('Información general'!$L$40)-'Información general'!$L$40=0,0,LEN(MID('Información general'!$L$40,SEARCH(".",'Información general'!$L$40)+1,100))))</f>
        <v>0</v>
      </c>
      <c r="I89" s="136" t="e">
        <f>FIXED('Toma de datos'!I31*LOOKUP('Información general'!L53,'Equipamiento y listas'!J36:J48,'Equipamiento y listas'!L36:L48)*LOOKUP('Información general'!N37,'Equipamiento y listas'!K49:K61,'Equipamiento y listas'!L49:L61),IF(INT('Información general'!$H$69)-'Información general'!$H$69=0,0,LEN(MID('Información general'!$H$69,SEARCH(".",'Información general'!$H$69)+1,100))))</f>
        <v>#N/A</v>
      </c>
      <c r="J89" s="85" t="str">
        <f>FIXED('Toma de datos'!J31,IF(INT('Información general'!$L$40)-'Información general'!$L$40=0,0,LEN(MID('Información general'!$L$40,SEARCH(".",'Información general'!$L$40)+1,100))))</f>
        <v>0</v>
      </c>
      <c r="K89" s="392" t="e">
        <f ca="1">FIXED('Toma de datos'!K31,IF(INT('Información general'!$L$40)-'Información general'!$L$40=0,0,LEN(MID('Información general'!$L$40,SEARCH(".",'Información general'!$L$40)+1,100))))</f>
        <v>#N/A</v>
      </c>
      <c r="L89" s="392"/>
      <c r="M89" s="86" t="str">
        <f>FIXED('Toma de datos'!H31,IF(INT('Información general'!$L$40)-'Información general'!$L$40=0,0,LEN(MID('Información general'!$L$40,SEARCH(".",'Información general'!$L$40)+1,100))))</f>
        <v>0</v>
      </c>
      <c r="N89" s="392" t="e">
        <f ca="1">IF(ABS(K89)&lt;M89,"Sí","No")</f>
        <v>#N/A</v>
      </c>
      <c r="O89" s="392"/>
    </row>
    <row r="90" spans="2:16" s="62" customFormat="1" ht="15.6" customHeight="1" x14ac:dyDescent="0.2">
      <c r="C90" s="440" t="s">
        <v>405</v>
      </c>
      <c r="D90" s="441"/>
      <c r="E90" s="458" t="str">
        <f>_xlfn.CONCAT(FIXED(2*('Información general'!M38-'Información general'!L38)/3,IF(INT('Información general'!$L$40)-'Información general'!$L$40=0,0,LEN(MID('Información general'!$L$40,SEARCH(".",'Información general'!$L$40)+1,100))))," ",'Información general'!N37," - ",FIXED('Información general'!M38,IF(INT('Información general'!$L$40)-'Información general'!$L$40=0,0,LEN(MID('Información general'!$L$40,SEARCH(".",'Información general'!$L$40)+1,100))))," ",'Información general'!N37)</f>
        <v>0 psi - 0 psi</v>
      </c>
      <c r="F90" s="459"/>
      <c r="G90" s="459"/>
      <c r="H90" s="86" t="str">
        <f>FIXED('Toma de datos'!G32,IF(INT('Información general'!$L$40)-'Información general'!$L$40=0,0,LEN(MID('Información general'!$L$40,SEARCH(".",'Información general'!$L$40)+1,100))))</f>
        <v>0</v>
      </c>
      <c r="I90" s="136" t="e">
        <f>FIXED('Toma de datos'!I32*LOOKUP('Información general'!L53,'Equipamiento y listas'!J36:J48,'Equipamiento y listas'!L36:L48)*LOOKUP('Información general'!N37,'Equipamiento y listas'!K49:K61,'Equipamiento y listas'!L49:L61),IF(INT('Información general'!$H$69)-'Información general'!$H$69=0,0,LEN(MID('Información general'!$H$69,SEARCH(".",'Información general'!$H$69)+1,100))))</f>
        <v>#N/A</v>
      </c>
      <c r="J90" s="85" t="str">
        <f>FIXED('Toma de datos'!J32,IF(INT('Información general'!$L$40)-'Información general'!$L$40=0,0,LEN(MID('Información general'!$L$40,SEARCH(".",'Información general'!$L$40)+1,100))))</f>
        <v>0</v>
      </c>
      <c r="K90" s="392" t="e">
        <f ca="1">FIXED('Toma de datos'!K32,IF(INT('Información general'!$L$40)-'Información general'!$L$40=0,0,LEN(MID('Información general'!$L$40,SEARCH(".",'Información general'!$L$40)+1,100))))</f>
        <v>#N/A</v>
      </c>
      <c r="L90" s="392"/>
      <c r="M90" s="86" t="str">
        <f>FIXED('Toma de datos'!H32,IF(INT('Información general'!$L$40)-'Información general'!$L$40=0,0,LEN(MID('Información general'!$L$40,SEARCH(".",'Información general'!$L$40)+1,100))))</f>
        <v>0</v>
      </c>
      <c r="N90" s="392" t="e">
        <f ca="1">IF(ABS(K90)&lt;M90,"Sí","No")</f>
        <v>#N/A</v>
      </c>
      <c r="O90" s="392"/>
    </row>
    <row r="91" spans="2:16" s="62" customFormat="1" ht="15.75" x14ac:dyDescent="0.25">
      <c r="C91" s="457" t="s">
        <v>465</v>
      </c>
      <c r="D91" s="457"/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457"/>
      <c r="P91" s="63"/>
    </row>
    <row r="92" spans="2:16" s="62" customFormat="1" ht="15.6" customHeight="1" x14ac:dyDescent="0.2">
      <c r="P92" s="63"/>
    </row>
    <row r="93" spans="2:16" s="62" customFormat="1" ht="15.6" customHeight="1" x14ac:dyDescent="0.2">
      <c r="B93" s="395" t="s">
        <v>399</v>
      </c>
      <c r="C93" s="395"/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5"/>
      <c r="P93" s="63"/>
    </row>
    <row r="94" spans="2:16" s="62" customFormat="1" ht="15.6" customHeight="1" x14ac:dyDescent="0.2">
      <c r="B94" s="395"/>
      <c r="C94" s="395"/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63"/>
    </row>
    <row r="95" spans="2:16" s="62" customFormat="1" x14ac:dyDescent="0.2">
      <c r="B95" s="63"/>
      <c r="P95" s="63"/>
    </row>
    <row r="96" spans="2:16" s="62" customFormat="1" ht="15.6" customHeight="1" x14ac:dyDescent="0.2">
      <c r="C96" s="402" t="str">
        <f>_xlfn.CONCAT("Indicación bajo calibración [",'Información general'!N37,"]")</f>
        <v>Indicación bajo calibración [psi]</v>
      </c>
      <c r="D96" s="400"/>
      <c r="E96" s="400" t="s">
        <v>309</v>
      </c>
      <c r="F96" s="400"/>
      <c r="G96" s="400"/>
      <c r="H96" s="400"/>
      <c r="I96" s="400" t="str">
        <f>_xlfn.CONCAT("Indicación del IBC, [",'Información general'!N37,"]")</f>
        <v>Indicación del IBC, [psi]</v>
      </c>
      <c r="J96" s="400"/>
      <c r="K96" s="400"/>
      <c r="L96" s="400"/>
      <c r="M96" s="400"/>
      <c r="N96" s="400"/>
      <c r="O96" s="422"/>
      <c r="P96" s="78"/>
    </row>
    <row r="97" spans="1:16" s="62" customFormat="1" x14ac:dyDescent="0.2">
      <c r="B97" s="78"/>
      <c r="C97" s="403"/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61"/>
      <c r="P97" s="78"/>
    </row>
    <row r="98" spans="1:16" s="62" customFormat="1" x14ac:dyDescent="0.2">
      <c r="B98" s="78"/>
      <c r="C98" s="403"/>
      <c r="D98" s="401"/>
      <c r="E98" s="401" t="s">
        <v>371</v>
      </c>
      <c r="F98" s="401"/>
      <c r="G98" s="401" t="str">
        <f>_xlfn.CONCAT("[",'Información general'!N37,"]")</f>
        <v>[psi]</v>
      </c>
      <c r="H98" s="401"/>
      <c r="I98" s="462" t="s">
        <v>372</v>
      </c>
      <c r="J98" s="462"/>
      <c r="K98" s="462" t="s">
        <v>373</v>
      </c>
      <c r="L98" s="462"/>
      <c r="M98" s="462"/>
      <c r="N98" s="462" t="s">
        <v>374</v>
      </c>
      <c r="O98" s="463"/>
      <c r="P98" s="63"/>
    </row>
    <row r="99" spans="1:16" s="62" customFormat="1" x14ac:dyDescent="0.2">
      <c r="B99" s="78"/>
      <c r="C99" s="403"/>
      <c r="D99" s="401"/>
      <c r="E99" s="464"/>
      <c r="F99" s="464"/>
      <c r="G99" s="401"/>
      <c r="H99" s="401"/>
      <c r="I99" s="87" t="s">
        <v>375</v>
      </c>
      <c r="J99" s="87" t="s">
        <v>376</v>
      </c>
      <c r="K99" s="476" t="s">
        <v>375</v>
      </c>
      <c r="L99" s="476"/>
      <c r="M99" s="114" t="s">
        <v>376</v>
      </c>
      <c r="N99" s="87" t="s">
        <v>375</v>
      </c>
      <c r="O99" s="88" t="s">
        <v>376</v>
      </c>
      <c r="P99" s="63"/>
    </row>
    <row r="100" spans="1:16" s="62" customFormat="1" x14ac:dyDescent="0.2">
      <c r="B100" s="78"/>
      <c r="C100" s="404" t="str">
        <f>'Información general'!B18</f>
        <v/>
      </c>
      <c r="D100" s="404"/>
      <c r="E100" s="392" t="e">
        <f>FIXED(IF(ISNUMBER(C100),'Toma de datos'!C92*LOOKUP("psi",'Equipamiento y listas'!$J$36:$J$48,'Equipamiento y listas'!$L$36:$L$47),""),R119)</f>
        <v>#VALUE!</v>
      </c>
      <c r="F100" s="392"/>
      <c r="G100" s="404" t="str">
        <f>IF(ISNUMBER(C100),FIXED('Toma de datos'!C92*LOOKUP("psi",'Equipamiento y listas'!$J$36:$J$48,'Equipamiento y listas'!$L$36:$L$48)*LOOKUP('Información general'!$N$37,'Equipamiento y listas'!$K$49:$K$61,'Equipamiento y listas'!$L$49:$L$61),R119),"")</f>
        <v/>
      </c>
      <c r="H100" s="404"/>
      <c r="I100" s="86" t="e">
        <f>FIXED(IF(ISNUMBER(C100),'Toma de datos'!C47,""),IF(INT('Información general'!$L$40)-'Información general'!$L$40=0,0,LEN(MID('Información general'!$L$40,SEARCH(".",'Información general'!$L$40)+1,100))))</f>
        <v>#VALUE!</v>
      </c>
      <c r="J100" s="86" t="e">
        <f>FIXED(IF(ISNUMBER(C100),'Toma de datos'!E47,""),IF(INT('Información general'!$L$40)-'Información general'!$L$40=0,0,LEN(MID('Información general'!$L$40,SEARCH(".",'Información general'!$L$40)+1,100))))</f>
        <v>#VALUE!</v>
      </c>
      <c r="K100" s="404" t="e">
        <f>FIXED(IF(ISNUMBER(C100),'Toma de datos'!G47,""),IF(INT('Información general'!$L$40)-'Información general'!$L$40=0,0,LEN(MID('Información general'!$L$40,SEARCH(".",'Información general'!$L$40)+1,100))))</f>
        <v>#VALUE!</v>
      </c>
      <c r="L100" s="404"/>
      <c r="M100" s="85" t="e">
        <f>FIXED(IF(ISNUMBER(C100),'Toma de datos'!I47,""),IF(INT('Información general'!$L$40)-'Información general'!$L$40=0,0,LEN(MID('Información general'!$L$40,SEARCH(".",'Información general'!$L$40)+1,100))))</f>
        <v>#VALUE!</v>
      </c>
      <c r="N100" s="86" t="str">
        <f>IF('Información general'!$L$42&lt;0.25%,IF(ISNUMBER(C100),FIXED('Toma de datos'!K47,IF(INT('Información general'!$L$40)-'Información general'!$L$40=0,0,LEN(MID('Información general'!$L$40,SEARCH(".",'Información general'!$L$40)+1,100)))),""),"N. A.")</f>
        <v>N. A.</v>
      </c>
      <c r="O100" s="86" t="str">
        <f>IF('Información general'!$L$42&lt;0.25%,IF(ISNUMBER(C100),FIXED('Toma de datos'!M47,IF(INT('Información general'!$L$40)-'Información general'!$L$40=0,0,LEN(MID('Información general'!$L$40,SEARCH(".",'Información general'!$L$40)+1,100)))),""),"N. A.")</f>
        <v>N. A.</v>
      </c>
      <c r="P100" s="63"/>
    </row>
    <row r="101" spans="1:16" s="62" customFormat="1" x14ac:dyDescent="0.2">
      <c r="B101" s="78"/>
      <c r="C101" s="392" t="str">
        <f>'Información general'!B19</f>
        <v/>
      </c>
      <c r="D101" s="392"/>
      <c r="E101" s="392" t="e">
        <f>FIXED(IF(ISNUMBER(C101),'Toma de datos'!C93*LOOKUP("psi",'Equipamiento y listas'!$J$36:$J$48,'Equipamiento y listas'!$L$36:$L$47),""),R120)</f>
        <v>#VALUE!</v>
      </c>
      <c r="F101" s="392"/>
      <c r="G101" s="404" t="str">
        <f>IF(ISNUMBER(C101),FIXED('Toma de datos'!C93*LOOKUP("psi",'Equipamiento y listas'!$J$36:$J$48,'Equipamiento y listas'!$L$36:$L$48)*LOOKUP('Información general'!$N$37,'Equipamiento y listas'!$K$49:$K$61,'Equipamiento y listas'!$L$49:$L$61),R120),"")</f>
        <v/>
      </c>
      <c r="H101" s="404"/>
      <c r="I101" s="86" t="e">
        <f>FIXED(IF(ISNUMBER(C101),'Toma de datos'!C48,""),IF(INT('Información general'!$L$40)-'Información general'!$L$40=0,0,LEN(MID('Información general'!$L$40,SEARCH(".",'Información general'!$L$40)+1,100))))</f>
        <v>#VALUE!</v>
      </c>
      <c r="J101" s="86" t="e">
        <f>FIXED(IF(ISNUMBER(C101),'Toma de datos'!E48,""),IF(INT('Información general'!$L$40)-'Información general'!$L$40=0,0,LEN(MID('Información general'!$L$40,SEARCH(".",'Información general'!$L$40)+1,100))))</f>
        <v>#VALUE!</v>
      </c>
      <c r="K101" s="404" t="e">
        <f>FIXED(IF(ISNUMBER(C101),'Toma de datos'!G48,""),IF(INT('Información general'!$L$40)-'Información general'!$L$40=0,0,LEN(MID('Información general'!$L$40,SEARCH(".",'Información general'!$L$40)+1,100))))</f>
        <v>#VALUE!</v>
      </c>
      <c r="L101" s="404"/>
      <c r="M101" s="85" t="e">
        <f>FIXED(IF(ISNUMBER(C101),'Toma de datos'!I48,""),IF(INT('Información general'!$L$40)-'Información general'!$L$40=0,0,LEN(MID('Información general'!$L$40,SEARCH(".",'Información general'!$L$40)+1,100))))</f>
        <v>#VALUE!</v>
      </c>
      <c r="N101" s="86" t="str">
        <f>IF('Información general'!$L$42&lt;0.25%,IF(ISNUMBER(C101),FIXED('Toma de datos'!K48,IF(INT('Información general'!$L$40)-'Información general'!$L$40=0,0,LEN(MID('Información general'!$L$40,SEARCH(".",'Información general'!$L$40)+1,100)))),""),"N. A.")</f>
        <v>N. A.</v>
      </c>
      <c r="O101" s="86" t="str">
        <f>IF('Información general'!$L$42&lt;0.25%,IF(ISNUMBER(C101),FIXED('Toma de datos'!M48,IF(INT('Información general'!$L$40)-'Información general'!$L$40=0,0,LEN(MID('Información general'!$L$40,SEARCH(".",'Información general'!$L$40)+1,100)))),""),"N. A.")</f>
        <v>N. A.</v>
      </c>
      <c r="P101" s="63"/>
    </row>
    <row r="102" spans="1:16" s="62" customFormat="1" ht="15.6" customHeight="1" x14ac:dyDescent="0.2">
      <c r="B102" s="78"/>
      <c r="C102" s="392" t="str">
        <f>'Información general'!B20</f>
        <v/>
      </c>
      <c r="D102" s="392"/>
      <c r="E102" s="392" t="e">
        <f>FIXED(IF(ISNUMBER(C102),'Toma de datos'!C94*LOOKUP("psi",'Equipamiento y listas'!$J$36:$J$48,'Equipamiento y listas'!$L$36:$L$47),""),R121)</f>
        <v>#VALUE!</v>
      </c>
      <c r="F102" s="392"/>
      <c r="G102" s="404" t="str">
        <f>IF(ISNUMBER(C102),FIXED('Toma de datos'!C94*LOOKUP("psi",'Equipamiento y listas'!$J$36:$J$48,'Equipamiento y listas'!$L$36:$L$48)*LOOKUP('Información general'!$N$37,'Equipamiento y listas'!$K$49:$K$61,'Equipamiento y listas'!$L$49:$L$61),R121),"")</f>
        <v/>
      </c>
      <c r="H102" s="404"/>
      <c r="I102" s="86" t="e">
        <f>FIXED(IF(ISNUMBER(C102),'Toma de datos'!C49,""),IF(INT('Información general'!$L$40)-'Información general'!$L$40=0,0,LEN(MID('Información general'!$L$40,SEARCH(".",'Información general'!$L$40)+1,100))))</f>
        <v>#VALUE!</v>
      </c>
      <c r="J102" s="86" t="e">
        <f>FIXED(IF(ISNUMBER(C102),'Toma de datos'!E49,""),IF(INT('Información general'!$L$40)-'Información general'!$L$40=0,0,LEN(MID('Información general'!$L$40,SEARCH(".",'Información general'!$L$40)+1,100))))</f>
        <v>#VALUE!</v>
      </c>
      <c r="K102" s="404" t="e">
        <f>FIXED(IF(ISNUMBER(C102),'Toma de datos'!G49,""),IF(INT('Información general'!$L$40)-'Información general'!$L$40=0,0,LEN(MID('Información general'!$L$40,SEARCH(".",'Información general'!$L$40)+1,100))))</f>
        <v>#VALUE!</v>
      </c>
      <c r="L102" s="404"/>
      <c r="M102" s="85" t="e">
        <f>FIXED(IF(ISNUMBER(C102),'Toma de datos'!I49,""),IF(INT('Información general'!$L$40)-'Información general'!$L$40=0,0,LEN(MID('Información general'!$L$40,SEARCH(".",'Información general'!$L$40)+1,100))))</f>
        <v>#VALUE!</v>
      </c>
      <c r="N102" s="86" t="str">
        <f>IF('Información general'!$L$42&lt;0.25%,IF(ISNUMBER(C102),FIXED('Toma de datos'!K49,IF(INT('Información general'!$L$40)-'Información general'!$L$40=0,0,LEN(MID('Información general'!$L$40,SEARCH(".",'Información general'!$L$40)+1,100)))),""),"N. A.")</f>
        <v>N. A.</v>
      </c>
      <c r="O102" s="86" t="str">
        <f>IF('Información general'!$L$42&lt;0.25%,IF(ISNUMBER(C102),FIXED('Toma de datos'!M49,IF(INT('Información general'!$L$40)-'Información general'!$L$40=0,0,LEN(MID('Información general'!$L$40,SEARCH(".",'Información general'!$L$40)+1,100)))),""),"N. A.")</f>
        <v>N. A.</v>
      </c>
      <c r="P102" s="63"/>
    </row>
    <row r="103" spans="1:16" s="62" customFormat="1" x14ac:dyDescent="0.2">
      <c r="B103" s="78"/>
      <c r="C103" s="392" t="str">
        <f>'Información general'!B21</f>
        <v/>
      </c>
      <c r="D103" s="392"/>
      <c r="E103" s="392" t="e">
        <f>FIXED(IF(ISNUMBER(C103),'Toma de datos'!C95*LOOKUP("psi",'Equipamiento y listas'!$J$36:$J$48,'Equipamiento y listas'!$L$36:$L$47),""),R122)</f>
        <v>#VALUE!</v>
      </c>
      <c r="F103" s="392"/>
      <c r="G103" s="404" t="str">
        <f>IF(ISNUMBER(C103),FIXED('Toma de datos'!C95*LOOKUP("psi",'Equipamiento y listas'!$J$36:$J$48,'Equipamiento y listas'!$L$36:$L$48)*LOOKUP('Información general'!$N$37,'Equipamiento y listas'!$K$49:$K$61,'Equipamiento y listas'!$L$49:$L$61),R122),"")</f>
        <v/>
      </c>
      <c r="H103" s="404"/>
      <c r="I103" s="86" t="e">
        <f>FIXED(IF(ISNUMBER(C103),'Toma de datos'!C50,""),IF(INT('Información general'!$L$40)-'Información general'!$L$40=0,0,LEN(MID('Información general'!$L$40,SEARCH(".",'Información general'!$L$40)+1,100))))</f>
        <v>#VALUE!</v>
      </c>
      <c r="J103" s="86" t="e">
        <f>FIXED(IF(ISNUMBER(C103),'Toma de datos'!E50,""),IF(INT('Información general'!$L$40)-'Información general'!$L$40=0,0,LEN(MID('Información general'!$L$40,SEARCH(".",'Información general'!$L$40)+1,100))))</f>
        <v>#VALUE!</v>
      </c>
      <c r="K103" s="404" t="e">
        <f>FIXED(IF(ISNUMBER(C103),'Toma de datos'!G50,""),IF(INT('Información general'!$L$40)-'Información general'!$L$40=0,0,LEN(MID('Información general'!$L$40,SEARCH(".",'Información general'!$L$40)+1,100))))</f>
        <v>#VALUE!</v>
      </c>
      <c r="L103" s="404"/>
      <c r="M103" s="85" t="e">
        <f>FIXED(IF(ISNUMBER(C103),'Toma de datos'!I50,""),IF(INT('Información general'!$L$40)-'Información general'!$L$40=0,0,LEN(MID('Información general'!$L$40,SEARCH(".",'Información general'!$L$40)+1,100))))</f>
        <v>#VALUE!</v>
      </c>
      <c r="N103" s="86" t="str">
        <f>IF('Información general'!$L$42&lt;0.25%,IF(ISNUMBER(C103),FIXED('Toma de datos'!K50,IF(INT('Información general'!$L$40)-'Información general'!$L$40=0,0,LEN(MID('Información general'!$L$40,SEARCH(".",'Información general'!$L$40)+1,100)))),""),"N. A.")</f>
        <v>N. A.</v>
      </c>
      <c r="O103" s="86" t="str">
        <f>IF('Información general'!$L$42&lt;0.25%,IF(ISNUMBER(C103),FIXED('Toma de datos'!M50,IF(INT('Información general'!$L$40)-'Información general'!$L$40=0,0,LEN(MID('Información general'!$L$40,SEARCH(".",'Información general'!$L$40)+1,100)))),""),"N. A.")</f>
        <v>N. A.</v>
      </c>
    </row>
    <row r="104" spans="1:16" s="62" customFormat="1" x14ac:dyDescent="0.2">
      <c r="B104" s="78"/>
      <c r="C104" s="392" t="str">
        <f>'Información general'!B22</f>
        <v/>
      </c>
      <c r="D104" s="392"/>
      <c r="E104" s="392" t="e">
        <f>FIXED(IF(ISNUMBER(C104),'Toma de datos'!C96*LOOKUP("psi",'Equipamiento y listas'!$J$36:$J$48,'Equipamiento y listas'!$L$36:$L$47),""),R123)</f>
        <v>#VALUE!</v>
      </c>
      <c r="F104" s="392"/>
      <c r="G104" s="404" t="str">
        <f>IF(ISNUMBER(C104),FIXED('Toma de datos'!C96*LOOKUP("psi",'Equipamiento y listas'!$J$36:$J$48,'Equipamiento y listas'!$L$36:$L$48)*LOOKUP('Información general'!$N$37,'Equipamiento y listas'!$K$49:$K$61,'Equipamiento y listas'!$L$49:$L$61),R123),"")</f>
        <v/>
      </c>
      <c r="H104" s="404"/>
      <c r="I104" s="86" t="e">
        <f>FIXED(IF(ISNUMBER(C104),'Toma de datos'!C51,""),IF(INT('Información general'!$L$40)-'Información general'!$L$40=0,0,LEN(MID('Información general'!$L$40,SEARCH(".",'Información general'!$L$40)+1,100))))</f>
        <v>#VALUE!</v>
      </c>
      <c r="J104" s="86" t="e">
        <f>FIXED(IF(ISNUMBER(C104),'Toma de datos'!E51,""),IF(INT('Información general'!$L$40)-'Información general'!$L$40=0,0,LEN(MID('Información general'!$L$40,SEARCH(".",'Información general'!$L$40)+1,100))))</f>
        <v>#VALUE!</v>
      </c>
      <c r="K104" s="404" t="e">
        <f>FIXED(IF(ISNUMBER(C104),'Toma de datos'!G51,""),IF(INT('Información general'!$L$40)-'Información general'!$L$40=0,0,LEN(MID('Información general'!$L$40,SEARCH(".",'Información general'!$L$40)+1,100))))</f>
        <v>#VALUE!</v>
      </c>
      <c r="L104" s="404"/>
      <c r="M104" s="85" t="e">
        <f>FIXED(IF(ISNUMBER(C104),'Toma de datos'!I51,""),IF(INT('Información general'!$L$40)-'Información general'!$L$40=0,0,LEN(MID('Información general'!$L$40,SEARCH(".",'Información general'!$L$40)+1,100))))</f>
        <v>#VALUE!</v>
      </c>
      <c r="N104" s="86" t="str">
        <f>IF('Información general'!$L$42&lt;0.25%,IF(ISNUMBER(C104),FIXED('Toma de datos'!K51,IF(INT('Información general'!$L$40)-'Información general'!$L$40=0,0,LEN(MID('Información general'!$L$40,SEARCH(".",'Información general'!$L$40)+1,100)))),""),"N. A.")</f>
        <v>N. A.</v>
      </c>
      <c r="O104" s="86" t="str">
        <f>IF('Información general'!$L$42&lt;0.25%,IF(ISNUMBER(C104),FIXED('Toma de datos'!M51,IF(INT('Información general'!$L$40)-'Información general'!$L$40=0,0,LEN(MID('Información general'!$L$40,SEARCH(".",'Información general'!$L$40)+1,100)))),""),"N. A.")</f>
        <v>N. A.</v>
      </c>
    </row>
    <row r="105" spans="1:16" s="62" customFormat="1" x14ac:dyDescent="0.2">
      <c r="A105" s="78"/>
      <c r="B105" s="113"/>
      <c r="C105" s="392" t="str">
        <f>'Información general'!B23</f>
        <v/>
      </c>
      <c r="D105" s="392"/>
      <c r="E105" s="392" t="e">
        <f>FIXED(IF(ISNUMBER(C105),'Toma de datos'!C97*LOOKUP("psi",'Equipamiento y listas'!$J$36:$J$48,'Equipamiento y listas'!$L$36:$L$47),""),R124)</f>
        <v>#VALUE!</v>
      </c>
      <c r="F105" s="392"/>
      <c r="G105" s="404" t="str">
        <f>IF(ISNUMBER(C105),FIXED('Toma de datos'!C97*LOOKUP("psi",'Equipamiento y listas'!$J$36:$J$48,'Equipamiento y listas'!$L$36:$L$48)*LOOKUP('Información general'!$N$37,'Equipamiento y listas'!$K$49:$K$61,'Equipamiento y listas'!$L$49:$L$61),R124),"")</f>
        <v/>
      </c>
      <c r="H105" s="404"/>
      <c r="I105" s="86" t="e">
        <f>FIXED(IF(ISNUMBER(C105),'Toma de datos'!C52,""),IF(INT('Información general'!$L$40)-'Información general'!$L$40=0,0,LEN(MID('Información general'!$L$40,SEARCH(".",'Información general'!$L$40)+1,100))))</f>
        <v>#VALUE!</v>
      </c>
      <c r="J105" s="86" t="e">
        <f>FIXED(IF(ISNUMBER(C105),'Toma de datos'!E52,""),IF(INT('Información general'!$L$40)-'Información general'!$L$40=0,0,LEN(MID('Información general'!$L$40,SEARCH(".",'Información general'!$L$40)+1,100))))</f>
        <v>#VALUE!</v>
      </c>
      <c r="K105" s="404" t="e">
        <f>FIXED(IF(ISNUMBER(C105),'Toma de datos'!G52,""),IF(INT('Información general'!$L$40)-'Información general'!$L$40=0,0,LEN(MID('Información general'!$L$40,SEARCH(".",'Información general'!$L$40)+1,100))))</f>
        <v>#VALUE!</v>
      </c>
      <c r="L105" s="404"/>
      <c r="M105" s="85" t="e">
        <f>FIXED(IF(ISNUMBER(C105),'Toma de datos'!I52,""),IF(INT('Información general'!$L$40)-'Información general'!$L$40=0,0,LEN(MID('Información general'!$L$40,SEARCH(".",'Información general'!$L$40)+1,100))))</f>
        <v>#VALUE!</v>
      </c>
      <c r="N105" s="86" t="str">
        <f>IF('Información general'!$L$42&lt;0.25%,IF(ISNUMBER(C105),FIXED('Toma de datos'!K52,IF(INT('Información general'!$L$40)-'Información general'!$L$40=0,0,LEN(MID('Información general'!$L$40,SEARCH(".",'Información general'!$L$40)+1,100)))),""),"N. A.")</f>
        <v>N. A.</v>
      </c>
      <c r="O105" s="86" t="str">
        <f>IF('Información general'!$L$42&lt;0.25%,IF(ISNUMBER(C105),FIXED('Toma de datos'!M52,IF(INT('Información general'!$L$40)-'Información general'!$L$40=0,0,LEN(MID('Información general'!$L$40,SEARCH(".",'Información general'!$L$40)+1,100)))),""),"N. A.")</f>
        <v>N. A.</v>
      </c>
    </row>
    <row r="106" spans="1:16" s="62" customFormat="1" ht="15.6" customHeight="1" x14ac:dyDescent="0.2">
      <c r="B106" s="78"/>
      <c r="C106" s="392" t="str">
        <f>'Información general'!B24</f>
        <v/>
      </c>
      <c r="D106" s="392"/>
      <c r="E106" s="392" t="e">
        <f>FIXED(IF(ISNUMBER(C106),'Toma de datos'!C98*LOOKUP("psi",'Equipamiento y listas'!$J$36:$J$48,'Equipamiento y listas'!$L$36:$L$47),""),R125)</f>
        <v>#VALUE!</v>
      </c>
      <c r="F106" s="392"/>
      <c r="G106" s="404" t="str">
        <f>IF(ISNUMBER(C106),FIXED('Toma de datos'!C98*LOOKUP("psi",'Equipamiento y listas'!$J$36:$J$48,'Equipamiento y listas'!$L$36:$L$48)*LOOKUP('Información general'!$N$37,'Equipamiento y listas'!$K$49:$K$61,'Equipamiento y listas'!$L$49:$L$61),R125),"")</f>
        <v/>
      </c>
      <c r="H106" s="404"/>
      <c r="I106" s="86" t="e">
        <f>FIXED(IF(ISNUMBER(C106),'Toma de datos'!C53,""),IF(INT('Información general'!$L$40)-'Información general'!$L$40=0,0,LEN(MID('Información general'!$L$40,SEARCH(".",'Información general'!$L$40)+1,100))))</f>
        <v>#VALUE!</v>
      </c>
      <c r="J106" s="86" t="e">
        <f>FIXED(IF(ISNUMBER(C106),'Toma de datos'!E53,""),IF(INT('Información general'!$L$40)-'Información general'!$L$40=0,0,LEN(MID('Información general'!$L$40,SEARCH(".",'Información general'!$L$40)+1,100))))</f>
        <v>#VALUE!</v>
      </c>
      <c r="K106" s="404" t="e">
        <f>FIXED(IF(ISNUMBER(C106),'Toma de datos'!G53,""),IF(INT('Información general'!$L$40)-'Información general'!$L$40=0,0,LEN(MID('Información general'!$L$40,SEARCH(".",'Información general'!$L$40)+1,100))))</f>
        <v>#VALUE!</v>
      </c>
      <c r="L106" s="404"/>
      <c r="M106" s="85" t="e">
        <f>FIXED(IF(ISNUMBER(C106),'Toma de datos'!I53,""),IF(INT('Información general'!$L$40)-'Información general'!$L$40=0,0,LEN(MID('Información general'!$L$40,SEARCH(".",'Información general'!$L$40)+1,100))))</f>
        <v>#VALUE!</v>
      </c>
      <c r="N106" s="86" t="str">
        <f>IF('Información general'!$L$42&lt;0.25%,IF(ISNUMBER(C106),FIXED('Toma de datos'!K53,IF(INT('Información general'!$L$40)-'Información general'!$L$40=0,0,LEN(MID('Información general'!$L$40,SEARCH(".",'Información general'!$L$40)+1,100)))),""),"N. A.")</f>
        <v>N. A.</v>
      </c>
      <c r="O106" s="86" t="str">
        <f>IF('Información general'!$L$42&lt;0.25%,IF(ISNUMBER(C106),FIXED('Toma de datos'!M53,IF(INT('Información general'!$L$40)-'Información general'!$L$40=0,0,LEN(MID('Información general'!$L$40,SEARCH(".",'Información general'!$L$40)+1,100)))),""),"N. A.")</f>
        <v>N. A.</v>
      </c>
    </row>
    <row r="107" spans="1:16" s="62" customFormat="1" ht="14.1" customHeight="1" x14ac:dyDescent="0.2">
      <c r="B107" s="78"/>
      <c r="C107" s="392" t="str">
        <f>'Información general'!B25</f>
        <v/>
      </c>
      <c r="D107" s="392"/>
      <c r="E107" s="392" t="e">
        <f>FIXED(IF(ISNUMBER(C107),'Toma de datos'!C99*LOOKUP("psi",'Equipamiento y listas'!$J$36:$J$48,'Equipamiento y listas'!$L$36:$L$47),""),R126)</f>
        <v>#VALUE!</v>
      </c>
      <c r="F107" s="392"/>
      <c r="G107" s="404" t="str">
        <f>IF(ISNUMBER(C107),FIXED('Toma de datos'!C99*LOOKUP("psi",'Equipamiento y listas'!$J$36:$J$48,'Equipamiento y listas'!$L$36:$L$48)*LOOKUP('Información general'!$N$37,'Equipamiento y listas'!$K$49:$K$61,'Equipamiento y listas'!$L$49:$L$61),R126),"")</f>
        <v/>
      </c>
      <c r="H107" s="404"/>
      <c r="I107" s="86" t="e">
        <f>FIXED(IF(ISNUMBER(C107),'Toma de datos'!C54,""),IF(INT('Información general'!$L$40)-'Información general'!$L$40=0,0,LEN(MID('Información general'!$L$40,SEARCH(".",'Información general'!$L$40)+1,100))))</f>
        <v>#VALUE!</v>
      </c>
      <c r="J107" s="86" t="e">
        <f>FIXED(IF(ISNUMBER(C107),'Toma de datos'!E54,""),IF(INT('Información general'!$L$40)-'Información general'!$L$40=0,0,LEN(MID('Información general'!$L$40,SEARCH(".",'Información general'!$L$40)+1,100))))</f>
        <v>#VALUE!</v>
      </c>
      <c r="K107" s="404" t="e">
        <f>FIXED(IF(ISNUMBER(C107),'Toma de datos'!G54,""),IF(INT('Información general'!$L$40)-'Información general'!$L$40=0,0,LEN(MID('Información general'!$L$40,SEARCH(".",'Información general'!$L$40)+1,100))))</f>
        <v>#VALUE!</v>
      </c>
      <c r="L107" s="404"/>
      <c r="M107" s="85" t="e">
        <f>FIXED(IF(ISNUMBER(C107),'Toma de datos'!I54,""),IF(INT('Información general'!$L$40)-'Información general'!$L$40=0,0,LEN(MID('Información general'!$L$40,SEARCH(".",'Información general'!$L$40)+1,100))))</f>
        <v>#VALUE!</v>
      </c>
      <c r="N107" s="86" t="str">
        <f>IF('Información general'!$L$42&lt;0.25%,IF(ISNUMBER(C107),FIXED('Toma de datos'!K54,IF(INT('Información general'!$L$40)-'Información general'!$L$40=0,0,LEN(MID('Información general'!$L$40,SEARCH(".",'Información general'!$L$40)+1,100)))),""),"N. A.")</f>
        <v>N. A.</v>
      </c>
      <c r="O107" s="86" t="str">
        <f>IF('Información general'!$L$42&lt;0.25%,IF(ISNUMBER(C107),FIXED('Toma de datos'!M54,IF(INT('Información general'!$L$40)-'Información general'!$L$40=0,0,LEN(MID('Información general'!$L$40,SEARCH(".",'Información general'!$L$40)+1,100)))),""),"N. A.")</f>
        <v>N. A.</v>
      </c>
    </row>
    <row r="108" spans="1:16" s="62" customFormat="1" ht="14.1" customHeight="1" x14ac:dyDescent="0.2">
      <c r="B108" s="78"/>
      <c r="C108" s="392" t="str">
        <f>'Información general'!B26</f>
        <v/>
      </c>
      <c r="D108" s="392"/>
      <c r="E108" s="392" t="e">
        <f>FIXED(IF(ISNUMBER(C108),'Toma de datos'!C100*LOOKUP("psi",'Equipamiento y listas'!$J$36:$J$48,'Equipamiento y listas'!$L$36:$L$47),""),R127)</f>
        <v>#VALUE!</v>
      </c>
      <c r="F108" s="392"/>
      <c r="G108" s="404" t="str">
        <f>IF(ISNUMBER(C108),FIXED('Toma de datos'!C100*LOOKUP("psi",'Equipamiento y listas'!$J$36:$J$48,'Equipamiento y listas'!$L$36:$L$48)*LOOKUP('Información general'!$N$37,'Equipamiento y listas'!$K$49:$K$61,'Equipamiento y listas'!$L$49:$L$61),R127),"")</f>
        <v/>
      </c>
      <c r="H108" s="404"/>
      <c r="I108" s="86" t="e">
        <f>FIXED(IF(ISNUMBER(C108),'Toma de datos'!C55,""),IF(INT('Información general'!$L$40)-'Información general'!$L$40=0,0,LEN(MID('Información general'!$L$40,SEARCH(".",'Información general'!$L$40)+1,100))))</f>
        <v>#VALUE!</v>
      </c>
      <c r="J108" s="86" t="e">
        <f>FIXED(IF(ISNUMBER(C108),'Toma de datos'!E55,""),IF(INT('Información general'!$L$40)-'Información general'!$L$40=0,0,LEN(MID('Información general'!$L$40,SEARCH(".",'Información general'!$L$40)+1,100))))</f>
        <v>#VALUE!</v>
      </c>
      <c r="K108" s="404" t="e">
        <f>FIXED(IF(ISNUMBER(C108),'Toma de datos'!G55,""),IF(INT('Información general'!$L$40)-'Información general'!$L$40=0,0,LEN(MID('Información general'!$L$40,SEARCH(".",'Información general'!$L$40)+1,100))))</f>
        <v>#VALUE!</v>
      </c>
      <c r="L108" s="404"/>
      <c r="M108" s="85" t="e">
        <f>FIXED(IF(ISNUMBER(C108),'Toma de datos'!I55,""),IF(INT('Información general'!$L$40)-'Información general'!$L$40=0,0,LEN(MID('Información general'!$L$40,SEARCH(".",'Información general'!$L$40)+1,100))))</f>
        <v>#VALUE!</v>
      </c>
      <c r="N108" s="86" t="str">
        <f>IF('Información general'!$L$42&lt;0.25%,IF(ISNUMBER(C108),FIXED('Toma de datos'!K55,IF(INT('Información general'!$L$40)-'Información general'!$L$40=0,0,LEN(MID('Información general'!$L$40,SEARCH(".",'Información general'!$L$40)+1,100)))),""),"N. A.")</f>
        <v>N. A.</v>
      </c>
      <c r="O108" s="86" t="str">
        <f>IF('Información general'!$L$42&lt;0.25%,IF(ISNUMBER(C108),FIXED('Toma de datos'!M55,IF(INT('Información general'!$L$40)-'Información general'!$L$40=0,0,LEN(MID('Información general'!$L$40,SEARCH(".",'Información general'!$L$40)+1,100)))),""),"N. A.")</f>
        <v>N. A.</v>
      </c>
    </row>
    <row r="109" spans="1:16" s="62" customFormat="1" ht="15.6" customHeight="1" x14ac:dyDescent="0.2">
      <c r="B109" s="78"/>
      <c r="C109" s="392" t="str">
        <f>'Información general'!B27</f>
        <v/>
      </c>
      <c r="D109" s="392"/>
      <c r="E109" s="392" t="e">
        <f>FIXED(IF(ISNUMBER(C109),'Toma de datos'!C101*LOOKUP("psi",'Equipamiento y listas'!$J$36:$J$48,'Equipamiento y listas'!$L$36:$L$47),""),R128)</f>
        <v>#VALUE!</v>
      </c>
      <c r="F109" s="392"/>
      <c r="G109" s="404" t="str">
        <f>IF(ISNUMBER(C109),FIXED('Toma de datos'!C101*LOOKUP("psi",'Equipamiento y listas'!$J$36:$J$48,'Equipamiento y listas'!$L$36:$L$48)*LOOKUP('Información general'!$N$37,'Equipamiento y listas'!$K$49:$K$61,'Equipamiento y listas'!$L$49:$L$61),R128),"")</f>
        <v/>
      </c>
      <c r="H109" s="404"/>
      <c r="I109" s="86" t="e">
        <f>FIXED(IF(ISNUMBER(C109),'Toma de datos'!C56,""),IF(INT('Información general'!$L$40)-'Información general'!$L$40=0,0,LEN(MID('Información general'!$L$40,SEARCH(".",'Información general'!$L$40)+1,100))))</f>
        <v>#VALUE!</v>
      </c>
      <c r="J109" s="86" t="e">
        <f>FIXED(IF(ISNUMBER(C109),'Toma de datos'!E56,""),IF(INT('Información general'!$L$40)-'Información general'!$L$40=0,0,LEN(MID('Información general'!$L$40,SEARCH(".",'Información general'!$L$40)+1,100))))</f>
        <v>#VALUE!</v>
      </c>
      <c r="K109" s="404" t="e">
        <f>FIXED(IF(ISNUMBER(C109),'Toma de datos'!G56,""),IF(INT('Información general'!$L$40)-'Información general'!$L$40=0,0,LEN(MID('Información general'!$L$40,SEARCH(".",'Información general'!$L$40)+1,100))))</f>
        <v>#VALUE!</v>
      </c>
      <c r="L109" s="404"/>
      <c r="M109" s="85" t="e">
        <f>FIXED(IF(ISNUMBER(C109),'Toma de datos'!I56,""),IF(INT('Información general'!$L$40)-'Información general'!$L$40=0,0,LEN(MID('Información general'!$L$40,SEARCH(".",'Información general'!$L$40)+1,100))))</f>
        <v>#VALUE!</v>
      </c>
      <c r="N109" s="86" t="str">
        <f>IF('Información general'!$L$42&lt;0.25%,IF(ISNUMBER(C109),FIXED('Toma de datos'!K56,IF(INT('Información general'!$L$40)-'Información general'!$L$40=0,0,LEN(MID('Información general'!$L$40,SEARCH(".",'Información general'!$L$40)+1,100)))),""),"N. A.")</f>
        <v>N. A.</v>
      </c>
      <c r="O109" s="86" t="str">
        <f>IF('Información general'!$L$42&lt;0.25%,IF(ISNUMBER(C109),FIXED('Toma de datos'!M56,IF(INT('Información general'!$L$40)-'Información general'!$L$40=0,0,LEN(MID('Información general'!$L$40,SEARCH(".",'Información general'!$L$40)+1,100)))),""),"N. A.")</f>
        <v>N. A.</v>
      </c>
    </row>
    <row r="110" spans="1:16" s="62" customFormat="1" ht="15.75" x14ac:dyDescent="0.25">
      <c r="B110" s="63"/>
      <c r="C110" s="477" t="s">
        <v>400</v>
      </c>
      <c r="D110" s="477"/>
      <c r="E110" s="477"/>
      <c r="F110" s="477"/>
      <c r="G110" s="477"/>
      <c r="H110" s="477"/>
      <c r="I110" s="477"/>
      <c r="J110" s="477"/>
      <c r="K110" s="477"/>
      <c r="L110" s="477"/>
      <c r="M110" s="477"/>
      <c r="N110" s="477"/>
      <c r="O110" s="477"/>
    </row>
    <row r="111" spans="1:16" s="62" customFormat="1" ht="14.25" x14ac:dyDescent="0.2"/>
    <row r="112" spans="1:16" s="62" customFormat="1" ht="15.6" customHeight="1" x14ac:dyDescent="0.2">
      <c r="B112" s="395" t="s">
        <v>398</v>
      </c>
      <c r="C112" s="395"/>
      <c r="D112" s="395"/>
      <c r="E112" s="395"/>
      <c r="F112" s="395"/>
      <c r="G112" s="395"/>
      <c r="H112" s="395"/>
      <c r="I112" s="395"/>
      <c r="J112" s="395"/>
      <c r="K112" s="395"/>
      <c r="L112" s="395"/>
      <c r="M112" s="395"/>
      <c r="N112" s="395"/>
      <c r="O112" s="395"/>
      <c r="P112" s="63"/>
    </row>
    <row r="113" spans="2:18" s="62" customFormat="1" ht="15.6" customHeight="1" x14ac:dyDescent="0.2">
      <c r="B113" s="395"/>
      <c r="C113" s="395"/>
      <c r="D113" s="395"/>
      <c r="E113" s="395"/>
      <c r="F113" s="395"/>
      <c r="G113" s="395"/>
      <c r="H113" s="395"/>
      <c r="I113" s="395"/>
      <c r="J113" s="395"/>
      <c r="K113" s="395"/>
      <c r="L113" s="395"/>
      <c r="M113" s="395"/>
      <c r="N113" s="395"/>
      <c r="O113" s="395"/>
      <c r="P113" s="63"/>
    </row>
    <row r="114" spans="2:18" s="62" customFormat="1" x14ac:dyDescent="0.2">
      <c r="B114" s="63"/>
      <c r="C114" s="63"/>
      <c r="D114" s="63"/>
      <c r="E114" s="63"/>
      <c r="F114" s="63"/>
      <c r="G114" s="63"/>
      <c r="I114" s="74"/>
      <c r="J114" s="74"/>
      <c r="K114" s="63"/>
      <c r="L114" s="63"/>
      <c r="M114" s="63"/>
      <c r="N114" s="63"/>
      <c r="O114" s="63"/>
      <c r="P114" s="63"/>
    </row>
    <row r="115" spans="2:18" s="62" customFormat="1" ht="15.6" customHeight="1" x14ac:dyDescent="0.2">
      <c r="B115" s="402" t="str">
        <f>_xlfn.CONCAT("Indicación bajo calibración [",'Información general'!N37,"]")</f>
        <v>Indicación bajo calibración [psi]</v>
      </c>
      <c r="C115" s="400"/>
      <c r="D115" s="400" t="s">
        <v>309</v>
      </c>
      <c r="E115" s="400"/>
      <c r="F115" s="400"/>
      <c r="G115" s="400"/>
      <c r="H115" s="275" t="str">
        <f>_xlfn.CONCAT("Indicación promedio del IBC, [",'Información general'!N37,"]")</f>
        <v>Indicación promedio del IBC, [psi]</v>
      </c>
      <c r="I115" s="275"/>
      <c r="J115" s="275" t="str">
        <f>_xlfn.CONCAT("Corrección a la indicación promedio del IBC, [",'Información general'!N37,"]")</f>
        <v>Corrección a la indicación promedio del IBC, [psi]</v>
      </c>
      <c r="K115" s="275"/>
      <c r="L115" s="275"/>
      <c r="M115" s="275" t="str">
        <f>_xlfn.CONCAT("Incertidumbre expandida de la corrección, [",'Información general'!N37,"]")</f>
        <v>Incertidumbre expandida de la corrección, [psi]</v>
      </c>
      <c r="N115" s="275"/>
      <c r="O115" s="275" t="s">
        <v>158</v>
      </c>
      <c r="P115" s="276" t="s">
        <v>58</v>
      </c>
      <c r="R115" s="405" t="s">
        <v>463</v>
      </c>
    </row>
    <row r="116" spans="2:18" s="62" customFormat="1" ht="14.1" customHeight="1" x14ac:dyDescent="0.2">
      <c r="B116" s="403"/>
      <c r="C116" s="401"/>
      <c r="D116" s="401"/>
      <c r="E116" s="401"/>
      <c r="F116" s="401"/>
      <c r="G116" s="401"/>
      <c r="H116" s="254"/>
      <c r="I116" s="254"/>
      <c r="J116" s="254"/>
      <c r="K116" s="254"/>
      <c r="L116" s="254"/>
      <c r="M116" s="254"/>
      <c r="N116" s="254"/>
      <c r="O116" s="254"/>
      <c r="P116" s="255"/>
      <c r="R116" s="405"/>
    </row>
    <row r="117" spans="2:18" s="62" customFormat="1" ht="14.25" x14ac:dyDescent="0.2">
      <c r="B117" s="403"/>
      <c r="C117" s="401"/>
      <c r="D117" s="401" t="s">
        <v>371</v>
      </c>
      <c r="E117" s="401"/>
      <c r="F117" s="401" t="str">
        <f>_xlfn.CONCAT("[",'Información general'!N37,"]")</f>
        <v>[psi]</v>
      </c>
      <c r="G117" s="401"/>
      <c r="H117" s="254"/>
      <c r="I117" s="254"/>
      <c r="J117" s="254"/>
      <c r="K117" s="254"/>
      <c r="L117" s="254"/>
      <c r="M117" s="254"/>
      <c r="N117" s="254"/>
      <c r="O117" s="254"/>
      <c r="P117" s="255"/>
      <c r="R117" s="405"/>
    </row>
    <row r="118" spans="2:18" s="62" customFormat="1" ht="14.25" x14ac:dyDescent="0.2">
      <c r="B118" s="403"/>
      <c r="C118" s="401"/>
      <c r="D118" s="401"/>
      <c r="E118" s="401"/>
      <c r="F118" s="401"/>
      <c r="G118" s="401"/>
      <c r="H118" s="254"/>
      <c r="I118" s="254"/>
      <c r="J118" s="254"/>
      <c r="K118" s="254"/>
      <c r="L118" s="254"/>
      <c r="M118" s="254"/>
      <c r="N118" s="254"/>
      <c r="O118" s="254"/>
      <c r="P118" s="255"/>
      <c r="R118" s="405"/>
    </row>
    <row r="119" spans="2:18" s="62" customFormat="1" x14ac:dyDescent="0.2">
      <c r="B119" s="404" t="str">
        <f>'Información general'!B18</f>
        <v/>
      </c>
      <c r="C119" s="404"/>
      <c r="D119" s="404" t="str">
        <f>IF(ISNUMBER(B119),FIXED('Toma de datos'!C92*LOOKUP("psi",'Equipamiento y listas'!$J$36:$J$48,'Equipamiento y listas'!$L$36:$L$47),R119),"")</f>
        <v/>
      </c>
      <c r="E119" s="404"/>
      <c r="F119" s="404" t="str">
        <f>IF(ISNUMBER(B119),FIXED('Toma de datos'!C92*LOOKUP("psi",'Equipamiento y listas'!$J$36:$J$48,'Equipamiento y listas'!$L$36:$L$48)*LOOKUP('Información general'!$N$37,'Equipamiento y listas'!$K$49:$K$61,'Equipamiento y listas'!$L$49:$L$61),R119),"")</f>
        <v/>
      </c>
      <c r="G119" s="404"/>
      <c r="H119" s="399" t="str">
        <f>IF(ISNUMBER(B119),FIXED('Información general'!F18,IF(INT('Información general'!$L$40)-'Información general'!$L$40=0,0,LEN(MID('Información general'!$L$40,SEARCH(".",'Información general'!$L$40)+1,100)))),"")</f>
        <v/>
      </c>
      <c r="I119" s="399"/>
      <c r="J119" s="399" t="str">
        <f>IF(ISNUMBER(B119),FIXED('Información general'!H18,R119),"")</f>
        <v/>
      </c>
      <c r="K119" s="399"/>
      <c r="L119" s="399"/>
      <c r="M119" s="478" t="str">
        <f>IF(ISNUMBER(B119),FIXED('Información general'!J18+5/(10^(R119+1)),R119),"")</f>
        <v/>
      </c>
      <c r="N119" s="478"/>
      <c r="O119" s="138" t="str">
        <f>'Información general'!L18</f>
        <v/>
      </c>
      <c r="P119" s="139" t="str">
        <f>IF(ISNUMBER(B119),'Información general'!M18,"")</f>
        <v/>
      </c>
      <c r="R119" s="141">
        <v>8</v>
      </c>
    </row>
    <row r="120" spans="2:18" s="62" customFormat="1" x14ac:dyDescent="0.2">
      <c r="B120" s="392" t="str">
        <f>'Información general'!B19</f>
        <v/>
      </c>
      <c r="C120" s="392"/>
      <c r="D120" s="404" t="str">
        <f>IF(ISNUMBER(B120),FIXED('Toma de datos'!C93*LOOKUP("psi",'Equipamiento y listas'!$J$36:$J$48,'Equipamiento y listas'!$L$36:$L$47),R120),"")</f>
        <v/>
      </c>
      <c r="E120" s="404"/>
      <c r="F120" s="404" t="str">
        <f>IF(ISNUMBER(B120),FIXED('Toma de datos'!C93*LOOKUP("psi",'Equipamiento y listas'!$J$36:$J$48,'Equipamiento y listas'!$L$36:$L$48)*LOOKUP('Información general'!$N$37,'Equipamiento y listas'!$K$49:$K$61,'Equipamiento y listas'!$L$49:$L$61),R120),"")</f>
        <v/>
      </c>
      <c r="G120" s="404"/>
      <c r="H120" s="399" t="str">
        <f>IF(ISNUMBER(B120),FIXED('Información general'!F19,IF(INT('Información general'!$L$40)-'Información general'!$L$40=0,0,LEN(MID('Información general'!$L$40,SEARCH(".",'Información general'!$L$40)+1,100)))),"")</f>
        <v/>
      </c>
      <c r="I120" s="399"/>
      <c r="J120" s="399" t="str">
        <f>IF(ISNUMBER(B120),FIXED('Información general'!H19,R120),"")</f>
        <v/>
      </c>
      <c r="K120" s="399"/>
      <c r="L120" s="399"/>
      <c r="M120" s="478" t="str">
        <f>IF(ISNUMBER(B120),FIXED('Información general'!J19+5/(10^(R120+1)),R120),"")</f>
        <v/>
      </c>
      <c r="N120" s="478"/>
      <c r="O120" s="140" t="str">
        <f>'Información general'!L19</f>
        <v/>
      </c>
      <c r="P120" s="139" t="str">
        <f>IF(ISNUMBER(B120),'Información general'!M19,"")</f>
        <v/>
      </c>
      <c r="R120" s="141">
        <v>8</v>
      </c>
    </row>
    <row r="121" spans="2:18" s="62" customFormat="1" x14ac:dyDescent="0.2">
      <c r="B121" s="392" t="str">
        <f>'Información general'!B20</f>
        <v/>
      </c>
      <c r="C121" s="392"/>
      <c r="D121" s="404" t="str">
        <f>IF(ISNUMBER(B121),FIXED('Toma de datos'!C94*LOOKUP("psi",'Equipamiento y listas'!$J$36:$J$48,'Equipamiento y listas'!$L$36:$L$47),R121),"")</f>
        <v/>
      </c>
      <c r="E121" s="404"/>
      <c r="F121" s="404" t="str">
        <f>IF(ISNUMBER(B121),FIXED('Toma de datos'!C94*LOOKUP("psi",'Equipamiento y listas'!$J$36:$J$48,'Equipamiento y listas'!$L$36:$L$48)*LOOKUP('Información general'!$N$37,'Equipamiento y listas'!$K$49:$K$61,'Equipamiento y listas'!$L$49:$L$61),R121),"")</f>
        <v/>
      </c>
      <c r="G121" s="404"/>
      <c r="H121" s="399" t="str">
        <f>IF(ISNUMBER(B121),FIXED('Información general'!F20,IF(INT('Información general'!$L$40)-'Información general'!$L$40=0,0,LEN(MID('Información general'!$L$40,SEARCH(".",'Información general'!$L$40)+1,100)))),"")</f>
        <v/>
      </c>
      <c r="I121" s="399"/>
      <c r="J121" s="399" t="str">
        <f>IF(ISNUMBER(B121),FIXED('Información general'!H20,R121),"")</f>
        <v/>
      </c>
      <c r="K121" s="399"/>
      <c r="L121" s="399"/>
      <c r="M121" s="478" t="str">
        <f>IF(ISNUMBER(B121),FIXED('Información general'!J20+5/(10^(R121+1)),R121),"")</f>
        <v/>
      </c>
      <c r="N121" s="478"/>
      <c r="O121" s="140" t="str">
        <f>'Información general'!L20</f>
        <v/>
      </c>
      <c r="P121" s="139" t="str">
        <f>IF(ISNUMBER(B121),'Información general'!M20,"")</f>
        <v/>
      </c>
      <c r="R121" s="141">
        <v>8</v>
      </c>
    </row>
    <row r="122" spans="2:18" s="62" customFormat="1" ht="15.6" customHeight="1" x14ac:dyDescent="0.2">
      <c r="B122" s="392" t="str">
        <f>'Información general'!B21</f>
        <v/>
      </c>
      <c r="C122" s="392"/>
      <c r="D122" s="404" t="str">
        <f>IF(ISNUMBER(B122),FIXED('Toma de datos'!C95*LOOKUP("psi",'Equipamiento y listas'!$J$36:$J$48,'Equipamiento y listas'!$L$36:$L$47),R122),"")</f>
        <v/>
      </c>
      <c r="E122" s="404"/>
      <c r="F122" s="404" t="str">
        <f>IF(ISNUMBER(B122),FIXED('Toma de datos'!C95*LOOKUP("psi",'Equipamiento y listas'!$J$36:$J$48,'Equipamiento y listas'!$L$36:$L$48)*LOOKUP('Información general'!$N$37,'Equipamiento y listas'!$K$49:$K$61,'Equipamiento y listas'!$L$49:$L$61),R122),"")</f>
        <v/>
      </c>
      <c r="G122" s="404"/>
      <c r="H122" s="399" t="str">
        <f>IF(ISNUMBER(B122),FIXED('Información general'!F21,IF(INT('Información general'!$L$40)-'Información general'!$L$40=0,0,LEN(MID('Información general'!$L$40,SEARCH(".",'Información general'!$L$40)+1,100)))),"")</f>
        <v/>
      </c>
      <c r="I122" s="399"/>
      <c r="J122" s="399" t="str">
        <f>IF(ISNUMBER(B122),FIXED('Información general'!H21,R122),"")</f>
        <v/>
      </c>
      <c r="K122" s="399"/>
      <c r="L122" s="399"/>
      <c r="M122" s="478" t="str">
        <f>IF(ISNUMBER(B122),FIXED('Información general'!J21+5/(10^(R122+1)),R122),"")</f>
        <v/>
      </c>
      <c r="N122" s="478"/>
      <c r="O122" s="140" t="str">
        <f>'Información general'!L21</f>
        <v/>
      </c>
      <c r="P122" s="139" t="str">
        <f>IF(ISNUMBER(B122),'Información general'!M21,"")</f>
        <v/>
      </c>
      <c r="R122" s="141">
        <v>8</v>
      </c>
    </row>
    <row r="123" spans="2:18" s="62" customFormat="1" ht="15.6" customHeight="1" x14ac:dyDescent="0.2">
      <c r="B123" s="392" t="str">
        <f>'Información general'!B22</f>
        <v/>
      </c>
      <c r="C123" s="392"/>
      <c r="D123" s="404" t="str">
        <f>IF(ISNUMBER(B123),FIXED('Toma de datos'!C96*LOOKUP("psi",'Equipamiento y listas'!$J$36:$J$48,'Equipamiento y listas'!$L$36:$L$47),R123),"")</f>
        <v/>
      </c>
      <c r="E123" s="404"/>
      <c r="F123" s="404" t="str">
        <f>IF(ISNUMBER(B123),FIXED('Toma de datos'!C96*LOOKUP("psi",'Equipamiento y listas'!$J$36:$J$48,'Equipamiento y listas'!$L$36:$L$48)*LOOKUP('Información general'!$N$37,'Equipamiento y listas'!$K$49:$K$61,'Equipamiento y listas'!$L$49:$L$61),R123),"")</f>
        <v/>
      </c>
      <c r="G123" s="404"/>
      <c r="H123" s="399" t="str">
        <f>IF(ISNUMBER(B123),FIXED('Información general'!F22,IF(INT('Información general'!$L$40)-'Información general'!$L$40=0,0,LEN(MID('Información general'!$L$40,SEARCH(".",'Información general'!$L$40)+1,100)))),"")</f>
        <v/>
      </c>
      <c r="I123" s="399"/>
      <c r="J123" s="399" t="str">
        <f>IF(ISNUMBER(B123),FIXED('Información general'!H22,R123),"")</f>
        <v/>
      </c>
      <c r="K123" s="399"/>
      <c r="L123" s="399"/>
      <c r="M123" s="478" t="str">
        <f>IF(ISNUMBER(B123),FIXED('Información general'!J22+5/(10^(R123+1)),R123),"")</f>
        <v/>
      </c>
      <c r="N123" s="478"/>
      <c r="O123" s="140" t="str">
        <f>'Información general'!L22</f>
        <v/>
      </c>
      <c r="P123" s="139" t="str">
        <f>IF(ISNUMBER(B123),'Información general'!M22,"")</f>
        <v/>
      </c>
      <c r="R123" s="141">
        <v>8</v>
      </c>
    </row>
    <row r="124" spans="2:18" s="62" customFormat="1" x14ac:dyDescent="0.2">
      <c r="B124" s="392" t="str">
        <f>'Información general'!B23</f>
        <v/>
      </c>
      <c r="C124" s="392"/>
      <c r="D124" s="404" t="str">
        <f>IF(ISNUMBER(B124),FIXED('Toma de datos'!C97*LOOKUP("psi",'Equipamiento y listas'!$J$36:$J$48,'Equipamiento y listas'!$L$36:$L$47),R124),"")</f>
        <v/>
      </c>
      <c r="E124" s="404"/>
      <c r="F124" s="404" t="str">
        <f>IF(ISNUMBER(B124),FIXED('Toma de datos'!C97*LOOKUP("psi",'Equipamiento y listas'!$J$36:$J$48,'Equipamiento y listas'!$L$36:$L$48)*LOOKUP('Información general'!$N$37,'Equipamiento y listas'!$K$49:$K$61,'Equipamiento y listas'!$L$49:$L$61),R124),"")</f>
        <v/>
      </c>
      <c r="G124" s="404"/>
      <c r="H124" s="399" t="str">
        <f>IF(ISNUMBER(B124),FIXED('Información general'!F23,IF(INT('Información general'!$L$40)-'Información general'!$L$40=0,0,LEN(MID('Información general'!$L$40,SEARCH(".",'Información general'!$L$40)+1,100)))),"")</f>
        <v/>
      </c>
      <c r="I124" s="399"/>
      <c r="J124" s="399" t="str">
        <f>IF(ISNUMBER(B124),FIXED('Información general'!H23,R124),"")</f>
        <v/>
      </c>
      <c r="K124" s="399"/>
      <c r="L124" s="399"/>
      <c r="M124" s="478" t="str">
        <f>IF(ISNUMBER(B124),FIXED('Información general'!J23+5/(10^(R124+1)),R124),"")</f>
        <v/>
      </c>
      <c r="N124" s="478"/>
      <c r="O124" s="140" t="str">
        <f>'Información general'!L23</f>
        <v/>
      </c>
      <c r="P124" s="139" t="str">
        <f>IF(ISNUMBER(B124),'Información general'!M23,"")</f>
        <v/>
      </c>
      <c r="R124" s="141">
        <v>8</v>
      </c>
    </row>
    <row r="125" spans="2:18" s="62" customFormat="1" x14ac:dyDescent="0.2">
      <c r="B125" s="392" t="str">
        <f>'Información general'!B24</f>
        <v/>
      </c>
      <c r="C125" s="392"/>
      <c r="D125" s="404" t="str">
        <f>IF(ISNUMBER(B125),FIXED('Toma de datos'!C98*LOOKUP("psi",'Equipamiento y listas'!$J$36:$J$48,'Equipamiento y listas'!$L$36:$L$47),R125),"")</f>
        <v/>
      </c>
      <c r="E125" s="404"/>
      <c r="F125" s="404" t="str">
        <f>IF(ISNUMBER(B125),FIXED('Toma de datos'!C98*LOOKUP("psi",'Equipamiento y listas'!$J$36:$J$48,'Equipamiento y listas'!$L$36:$L$48)*LOOKUP('Información general'!$N$37,'Equipamiento y listas'!$K$49:$K$61,'Equipamiento y listas'!$L$49:$L$61),R125),"")</f>
        <v/>
      </c>
      <c r="G125" s="404"/>
      <c r="H125" s="399" t="str">
        <f>IF(ISNUMBER(B125),FIXED('Información general'!F24,IF(INT('Información general'!$L$40)-'Información general'!$L$40=0,0,LEN(MID('Información general'!$L$40,SEARCH(".",'Información general'!$L$40)+1,100)))),"")</f>
        <v/>
      </c>
      <c r="I125" s="399"/>
      <c r="J125" s="399" t="str">
        <f>IF(ISNUMBER(B125),FIXED('Información general'!H24,R125),"")</f>
        <v/>
      </c>
      <c r="K125" s="399"/>
      <c r="L125" s="399"/>
      <c r="M125" s="478" t="str">
        <f>IF(ISNUMBER(B125),FIXED('Información general'!J24+5/(10^(R125+1)),R125),"")</f>
        <v/>
      </c>
      <c r="N125" s="478"/>
      <c r="O125" s="140" t="str">
        <f>'Información general'!L24</f>
        <v/>
      </c>
      <c r="P125" s="139" t="str">
        <f>IF(ISNUMBER(B125),'Información general'!M24,"")</f>
        <v/>
      </c>
      <c r="R125" s="141">
        <v>8</v>
      </c>
    </row>
    <row r="126" spans="2:18" s="62" customFormat="1" ht="14.1" customHeight="1" x14ac:dyDescent="0.2">
      <c r="B126" s="392" t="str">
        <f>'Información general'!B25</f>
        <v/>
      </c>
      <c r="C126" s="392"/>
      <c r="D126" s="404" t="str">
        <f>IF(ISNUMBER(B126),FIXED('Toma de datos'!C99*LOOKUP("psi",'Equipamiento y listas'!$J$36:$J$48,'Equipamiento y listas'!$L$36:$L$47),R126),"")</f>
        <v/>
      </c>
      <c r="E126" s="404"/>
      <c r="F126" s="404" t="str">
        <f>IF(ISNUMBER(B126),FIXED('Toma de datos'!C99*LOOKUP("psi",'Equipamiento y listas'!$J$36:$J$48,'Equipamiento y listas'!$L$36:$L$48)*LOOKUP('Información general'!$N$37,'Equipamiento y listas'!$K$49:$K$61,'Equipamiento y listas'!$L$49:$L$61),R126),"")</f>
        <v/>
      </c>
      <c r="G126" s="404"/>
      <c r="H126" s="399" t="str">
        <f>IF(ISNUMBER(B126),FIXED('Información general'!F25,IF(INT('Información general'!$L$40)-'Información general'!$L$40=0,0,LEN(MID('Información general'!$L$40,SEARCH(".",'Información general'!$L$40)+1,100)))),"")</f>
        <v/>
      </c>
      <c r="I126" s="399"/>
      <c r="J126" s="399" t="str">
        <f>IF(ISNUMBER(B126),FIXED('Información general'!H25,R126),"")</f>
        <v/>
      </c>
      <c r="K126" s="399"/>
      <c r="L126" s="399"/>
      <c r="M126" s="478" t="str">
        <f>IF(ISNUMBER(B126),FIXED('Información general'!J25+5/(10^(R126+1)),R126),"")</f>
        <v/>
      </c>
      <c r="N126" s="478"/>
      <c r="O126" s="140" t="str">
        <f>'Información general'!L25</f>
        <v/>
      </c>
      <c r="P126" s="139" t="str">
        <f>IF(ISNUMBER(B126),'Información general'!M25,"")</f>
        <v/>
      </c>
      <c r="R126" s="141">
        <v>8</v>
      </c>
    </row>
    <row r="127" spans="2:18" s="62" customFormat="1" x14ac:dyDescent="0.2">
      <c r="B127" s="392" t="str">
        <f>'Información general'!B26</f>
        <v/>
      </c>
      <c r="C127" s="392"/>
      <c r="D127" s="404" t="str">
        <f>IF(ISNUMBER(B127),FIXED('Toma de datos'!C100*LOOKUP("psi",'Equipamiento y listas'!$J$36:$J$48,'Equipamiento y listas'!$L$36:$L$47),R127),"")</f>
        <v/>
      </c>
      <c r="E127" s="404"/>
      <c r="F127" s="404" t="str">
        <f>IF(ISNUMBER(B127),FIXED('Toma de datos'!C100*LOOKUP("psi",'Equipamiento y listas'!$J$36:$J$48,'Equipamiento y listas'!$L$36:$L$48)*LOOKUP('Información general'!$N$37,'Equipamiento y listas'!$K$49:$K$61,'Equipamiento y listas'!$L$49:$L$61),R127),"")</f>
        <v/>
      </c>
      <c r="G127" s="404"/>
      <c r="H127" s="399" t="str">
        <f>IF(ISNUMBER(B127),FIXED('Información general'!F26,IF(INT('Información general'!$L$40)-'Información general'!$L$40=0,0,LEN(MID('Información general'!$L$40,SEARCH(".",'Información general'!$L$40)+1,100)))),"")</f>
        <v/>
      </c>
      <c r="I127" s="399"/>
      <c r="J127" s="399" t="str">
        <f>IF(ISNUMBER(B127),FIXED('Información general'!H26,R127),"")</f>
        <v/>
      </c>
      <c r="K127" s="399"/>
      <c r="L127" s="399"/>
      <c r="M127" s="478" t="str">
        <f>IF(ISNUMBER(B127),FIXED('Información general'!J26+5/(10^(R127+1)),R127),"")</f>
        <v/>
      </c>
      <c r="N127" s="478"/>
      <c r="O127" s="140" t="str">
        <f>'Información general'!L26</f>
        <v/>
      </c>
      <c r="P127" s="139" t="str">
        <f>IF(ISNUMBER(B127),'Información general'!M26,"")</f>
        <v/>
      </c>
      <c r="R127" s="141">
        <v>8</v>
      </c>
    </row>
    <row r="128" spans="2:18" s="62" customFormat="1" x14ac:dyDescent="0.2">
      <c r="B128" s="392" t="str">
        <f>'Información general'!B27</f>
        <v/>
      </c>
      <c r="C128" s="392"/>
      <c r="D128" s="404" t="str">
        <f>IF(ISNUMBER(B128),FIXED('Toma de datos'!C101*LOOKUP("psi",'Equipamiento y listas'!$J$36:$J$48,'Equipamiento y listas'!$L$36:$L$47),R128),"")</f>
        <v/>
      </c>
      <c r="E128" s="404"/>
      <c r="F128" s="404" t="str">
        <f>IF(ISNUMBER(B128),FIXED('Toma de datos'!C101*LOOKUP("psi",'Equipamiento y listas'!$J$36:$J$48,'Equipamiento y listas'!$L$36:$L$48)*LOOKUP('Información general'!$N$37,'Equipamiento y listas'!$K$49:$K$61,'Equipamiento y listas'!$L$49:$L$61),R128),"")</f>
        <v/>
      </c>
      <c r="G128" s="404"/>
      <c r="H128" s="399" t="str">
        <f>IF(ISNUMBER(B128),FIXED('Información general'!F27,IF(INT('Información general'!$L$40)-'Información general'!$L$40=0,0,LEN(MID('Información general'!$L$40,SEARCH(".",'Información general'!$L$40)+1,100)))),"")</f>
        <v/>
      </c>
      <c r="I128" s="399"/>
      <c r="J128" s="399" t="str">
        <f>IF(ISNUMBER(B128),FIXED('Información general'!H27,R128),"")</f>
        <v/>
      </c>
      <c r="K128" s="399"/>
      <c r="L128" s="399"/>
      <c r="M128" s="478" t="str">
        <f>IF(ISNUMBER(B128),FIXED('Información general'!J27+5/(10^(R128+1)),R128),"")</f>
        <v/>
      </c>
      <c r="N128" s="478"/>
      <c r="O128" s="140" t="str">
        <f>'Información general'!L27</f>
        <v/>
      </c>
      <c r="P128" s="139" t="str">
        <f>IF(ISNUMBER(B128),'Información general'!M27,"")</f>
        <v/>
      </c>
      <c r="R128" s="141">
        <v>8</v>
      </c>
    </row>
    <row r="129" spans="2:16" s="62" customFormat="1" ht="15.75" x14ac:dyDescent="0.25">
      <c r="B129" s="477" t="s">
        <v>401</v>
      </c>
      <c r="C129" s="477"/>
      <c r="D129" s="477"/>
      <c r="E129" s="477"/>
      <c r="F129" s="477"/>
      <c r="G129" s="477"/>
      <c r="H129" s="477"/>
      <c r="I129" s="477"/>
      <c r="J129" s="477"/>
      <c r="K129" s="477"/>
      <c r="L129" s="477"/>
      <c r="M129" s="477"/>
      <c r="N129" s="477"/>
      <c r="O129" s="477"/>
      <c r="P129" s="477"/>
    </row>
    <row r="130" spans="2:16" s="62" customFormat="1" x14ac:dyDescent="0.2"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</row>
    <row r="131" spans="2:16" s="62" customFormat="1" ht="15.6" customHeight="1" x14ac:dyDescent="0.2"/>
    <row r="132" spans="2:16" s="62" customFormat="1" x14ac:dyDescent="0.2">
      <c r="B132" s="395" t="s">
        <v>397</v>
      </c>
      <c r="C132" s="395"/>
      <c r="D132" s="395"/>
      <c r="E132" s="395"/>
      <c r="F132" s="395"/>
      <c r="G132" s="395"/>
      <c r="H132" s="395"/>
      <c r="I132" s="395"/>
      <c r="J132" s="395"/>
      <c r="K132" s="395"/>
      <c r="L132" s="395"/>
      <c r="M132" s="395"/>
      <c r="N132" s="395"/>
      <c r="O132" s="395"/>
      <c r="P132" s="63"/>
    </row>
    <row r="133" spans="2:16" s="62" customFormat="1" ht="15.6" customHeight="1" x14ac:dyDescent="0.2">
      <c r="B133" s="395"/>
      <c r="C133" s="395"/>
      <c r="D133" s="395"/>
      <c r="E133" s="395"/>
      <c r="F133" s="395"/>
      <c r="G133" s="395"/>
      <c r="H133" s="395"/>
      <c r="I133" s="395"/>
      <c r="J133" s="395"/>
      <c r="K133" s="395"/>
      <c r="L133" s="395"/>
      <c r="M133" s="395"/>
      <c r="N133" s="395"/>
      <c r="O133" s="395"/>
      <c r="P133" s="63"/>
    </row>
    <row r="134" spans="2:16" s="62" customFormat="1" ht="15.6" customHeight="1" x14ac:dyDescent="0.2"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83"/>
      <c r="N134" s="84"/>
      <c r="P134" s="63"/>
    </row>
    <row r="135" spans="2:16" s="62" customFormat="1" ht="15.6" customHeight="1" x14ac:dyDescent="0.2">
      <c r="C135" s="416" t="s">
        <v>407</v>
      </c>
      <c r="D135" s="416"/>
      <c r="E135" s="416"/>
      <c r="F135" s="416"/>
      <c r="G135" s="416"/>
      <c r="H135" s="416"/>
      <c r="I135" s="416"/>
      <c r="J135" s="416"/>
      <c r="K135" s="416"/>
      <c r="L135" s="416"/>
      <c r="M135" s="416"/>
      <c r="N135" s="416"/>
      <c r="O135" s="416"/>
      <c r="P135" s="416"/>
    </row>
    <row r="136" spans="2:16" s="62" customFormat="1" ht="15.6" customHeight="1" x14ac:dyDescent="0.2">
      <c r="C136" s="416"/>
      <c r="D136" s="416"/>
      <c r="E136" s="416"/>
      <c r="F136" s="416"/>
      <c r="G136" s="416"/>
      <c r="H136" s="416"/>
      <c r="I136" s="416"/>
      <c r="J136" s="416"/>
      <c r="K136" s="416"/>
      <c r="L136" s="416"/>
      <c r="M136" s="416"/>
      <c r="N136" s="416"/>
      <c r="O136" s="416"/>
      <c r="P136" s="416"/>
    </row>
    <row r="137" spans="2:16" s="62" customFormat="1" ht="15.6" customHeight="1" x14ac:dyDescent="0.2">
      <c r="C137" s="416"/>
      <c r="D137" s="416"/>
      <c r="E137" s="416"/>
      <c r="F137" s="416"/>
      <c r="G137" s="416"/>
      <c r="H137" s="416"/>
      <c r="I137" s="416"/>
      <c r="J137" s="416"/>
      <c r="K137" s="416"/>
      <c r="L137" s="416"/>
      <c r="M137" s="416"/>
      <c r="N137" s="416"/>
      <c r="O137" s="416"/>
      <c r="P137" s="416"/>
    </row>
    <row r="138" spans="2:16" s="62" customFormat="1" ht="14.25" x14ac:dyDescent="0.2">
      <c r="C138" s="416"/>
      <c r="D138" s="416"/>
      <c r="E138" s="416"/>
      <c r="F138" s="416"/>
      <c r="G138" s="416"/>
      <c r="H138" s="416"/>
      <c r="I138" s="416"/>
      <c r="J138" s="416"/>
      <c r="K138" s="416"/>
      <c r="L138" s="416"/>
      <c r="M138" s="416"/>
      <c r="N138" s="416"/>
      <c r="O138" s="416"/>
      <c r="P138" s="416"/>
    </row>
    <row r="139" spans="2:16" s="62" customFormat="1" x14ac:dyDescent="0.2">
      <c r="B139" s="63"/>
      <c r="C139" s="75"/>
      <c r="D139" s="75"/>
      <c r="E139" s="75"/>
      <c r="F139" s="75"/>
      <c r="K139" s="75"/>
      <c r="L139" s="75"/>
      <c r="M139" s="75"/>
      <c r="N139" s="75"/>
      <c r="O139" s="75"/>
      <c r="P139" s="75"/>
    </row>
    <row r="140" spans="2:16" s="62" customFormat="1" ht="18" x14ac:dyDescent="0.25">
      <c r="B140" s="66"/>
      <c r="C140" s="66"/>
      <c r="D140" s="66"/>
      <c r="E140" s="66"/>
      <c r="F140" s="66"/>
      <c r="H140" s="385" t="str">
        <f>O72</f>
        <v>pág 2 de 3</v>
      </c>
      <c r="I140" s="385"/>
      <c r="J140" s="385"/>
      <c r="K140" s="385"/>
      <c r="P140" s="66"/>
    </row>
    <row r="141" spans="2:16" s="62" customFormat="1" ht="18" x14ac:dyDescent="0.25">
      <c r="B141" s="66"/>
      <c r="C141" s="66"/>
      <c r="D141" s="66"/>
      <c r="E141" s="66"/>
      <c r="F141" s="66"/>
      <c r="H141" s="385" t="s">
        <v>359</v>
      </c>
      <c r="I141" s="385"/>
      <c r="J141" s="385"/>
      <c r="K141" s="385"/>
      <c r="L141" s="66"/>
      <c r="M141" s="66"/>
      <c r="N141" s="66"/>
      <c r="O141" s="66"/>
      <c r="P141" s="66"/>
    </row>
    <row r="142" spans="2:16" s="62" customFormat="1" ht="15.6" customHeight="1" x14ac:dyDescent="0.2">
      <c r="B142" s="63"/>
      <c r="C142" s="63"/>
      <c r="D142" s="63"/>
      <c r="E142" s="63"/>
      <c r="F142" s="63"/>
      <c r="G142" s="63"/>
      <c r="H142" s="63"/>
      <c r="I142" s="393" t="str">
        <f>_xlfn.CONCAT("Código del certificado: ",IF('Información general'!E41='Equipamiento y listas'!B46,'Información general'!E40,IF('Información general'!E41='Equipamiento y listas'!B47,_xlfn.CONCAT('Información general'!E40,"-",'Información general'!E42))))</f>
        <v>Código del certificado: 0</v>
      </c>
      <c r="J142" s="393"/>
      <c r="K142" s="393"/>
      <c r="L142" s="393"/>
      <c r="M142" s="393"/>
      <c r="N142" s="393"/>
      <c r="O142" s="394" t="s">
        <v>362</v>
      </c>
      <c r="P142" s="394"/>
    </row>
    <row r="143" spans="2:16" s="62" customFormat="1" ht="15.6" customHeight="1" x14ac:dyDescent="0.2">
      <c r="B143" s="63"/>
      <c r="C143" s="63"/>
      <c r="D143" s="63"/>
      <c r="E143" s="63"/>
      <c r="F143" s="63"/>
      <c r="G143" s="63"/>
      <c r="H143" s="63"/>
      <c r="I143" s="393"/>
      <c r="J143" s="393"/>
      <c r="K143" s="393"/>
      <c r="L143" s="393"/>
      <c r="M143" s="393"/>
      <c r="N143" s="393"/>
      <c r="O143" s="394"/>
      <c r="P143" s="394"/>
    </row>
    <row r="144" spans="2:16" s="62" customFormat="1" ht="15.6" customHeight="1" x14ac:dyDescent="0.2"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</row>
    <row r="145" spans="2:16" s="62" customFormat="1" ht="14.1" customHeight="1" x14ac:dyDescent="0.2">
      <c r="B145" s="395" t="s">
        <v>377</v>
      </c>
      <c r="C145" s="395"/>
      <c r="D145" s="395"/>
      <c r="E145" s="395"/>
      <c r="F145" s="395"/>
      <c r="G145" s="395"/>
      <c r="H145" s="395"/>
      <c r="I145" s="395"/>
      <c r="J145" s="395"/>
      <c r="K145" s="395"/>
      <c r="L145" s="395"/>
      <c r="M145" s="395"/>
      <c r="N145" s="395"/>
      <c r="O145" s="395"/>
      <c r="P145" s="63"/>
    </row>
    <row r="146" spans="2:16" s="62" customFormat="1" ht="15.6" customHeight="1" x14ac:dyDescent="0.2">
      <c r="B146" s="395"/>
      <c r="C146" s="395"/>
      <c r="D146" s="395"/>
      <c r="E146" s="395"/>
      <c r="F146" s="395"/>
      <c r="G146" s="395"/>
      <c r="H146" s="395"/>
      <c r="I146" s="395"/>
      <c r="J146" s="395"/>
      <c r="K146" s="395"/>
      <c r="L146" s="395"/>
      <c r="M146" s="395"/>
      <c r="N146" s="395"/>
      <c r="O146" s="395"/>
      <c r="P146" s="63"/>
    </row>
    <row r="147" spans="2:16" s="62" customFormat="1" ht="18" x14ac:dyDescent="0.25">
      <c r="C147" s="397" t="str">
        <f>_xlfn.CONCAT("Indicación del equipo, [",'Información general'!N37,"]")</f>
        <v>Indicación del equipo, [psi]</v>
      </c>
      <c r="D147" s="397"/>
      <c r="E147" s="397"/>
      <c r="F147" s="397"/>
      <c r="G147" s="397"/>
      <c r="H147" s="397"/>
      <c r="I147" s="397"/>
      <c r="J147" s="397"/>
      <c r="K147" s="397"/>
      <c r="L147" s="397"/>
      <c r="M147" s="397"/>
      <c r="N147" s="397"/>
      <c r="O147" s="397"/>
      <c r="P147" s="66"/>
    </row>
    <row r="148" spans="2:16" s="62" customFormat="1" ht="17.45" customHeight="1" x14ac:dyDescent="0.2">
      <c r="C148" s="398" t="str">
        <f>_xlfn.CONCAT("Correcciones a la indicación, [",'Información general'!N37,"]")</f>
        <v>Correcciones a la indicación, [psi]</v>
      </c>
      <c r="I148" s="63"/>
      <c r="J148" s="63"/>
      <c r="K148" s="63"/>
      <c r="L148" s="63"/>
      <c r="M148" s="63"/>
      <c r="N148" s="63"/>
      <c r="O148" s="63"/>
      <c r="P148" s="63"/>
    </row>
    <row r="149" spans="2:16" s="62" customFormat="1" x14ac:dyDescent="0.2">
      <c r="C149" s="398"/>
      <c r="I149" s="63"/>
      <c r="J149" s="63"/>
      <c r="K149" s="63"/>
      <c r="L149" s="63"/>
      <c r="M149" s="63"/>
      <c r="N149" s="63"/>
      <c r="O149" s="63"/>
      <c r="P149" s="63"/>
    </row>
    <row r="150" spans="2:16" s="62" customFormat="1" ht="15.6" customHeight="1" x14ac:dyDescent="0.2">
      <c r="B150" s="76"/>
      <c r="C150" s="398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63"/>
    </row>
    <row r="151" spans="2:16" s="62" customFormat="1" ht="15.6" customHeight="1" x14ac:dyDescent="0.2">
      <c r="B151" s="76"/>
      <c r="C151" s="398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63"/>
    </row>
    <row r="152" spans="2:16" s="62" customFormat="1" x14ac:dyDescent="0.2">
      <c r="B152" s="63"/>
      <c r="C152" s="398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</row>
    <row r="153" spans="2:16" s="62" customFormat="1" ht="17.45" customHeight="1" x14ac:dyDescent="0.2">
      <c r="B153" s="63"/>
      <c r="C153" s="398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</row>
    <row r="154" spans="2:16" s="62" customFormat="1" ht="17.45" customHeight="1" x14ac:dyDescent="0.2">
      <c r="B154" s="63"/>
      <c r="C154" s="398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</row>
    <row r="155" spans="2:16" s="62" customFormat="1" ht="17.45" customHeight="1" x14ac:dyDescent="0.2">
      <c r="B155" s="63"/>
      <c r="C155" s="398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</row>
    <row r="156" spans="2:16" s="62" customFormat="1" ht="17.45" customHeight="1" x14ac:dyDescent="0.2">
      <c r="B156" s="63"/>
      <c r="C156" s="398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</row>
    <row r="157" spans="2:16" s="62" customFormat="1" ht="15.6" customHeight="1" x14ac:dyDescent="0.2">
      <c r="B157" s="63"/>
      <c r="C157" s="398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</row>
    <row r="158" spans="2:16" s="62" customFormat="1" ht="15.6" customHeight="1" x14ac:dyDescent="0.2">
      <c r="B158" s="63"/>
      <c r="C158" s="398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</row>
    <row r="159" spans="2:16" s="62" customFormat="1" ht="17.45" customHeight="1" x14ac:dyDescent="0.2">
      <c r="B159" s="63"/>
      <c r="C159" s="398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</row>
    <row r="160" spans="2:16" s="62" customFormat="1" x14ac:dyDescent="0.2">
      <c r="B160" s="63"/>
      <c r="C160" s="398"/>
      <c r="P160" s="63"/>
    </row>
    <row r="161" spans="2:16" s="62" customFormat="1" ht="15.6" customHeight="1" x14ac:dyDescent="0.2">
      <c r="B161" s="76"/>
      <c r="C161" s="398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63"/>
    </row>
    <row r="162" spans="2:16" s="62" customFormat="1" ht="15.6" customHeight="1" x14ac:dyDescent="0.2">
      <c r="B162" s="76"/>
      <c r="C162" s="398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63"/>
    </row>
    <row r="163" spans="2:16" s="62" customFormat="1" x14ac:dyDescent="0.2">
      <c r="B163" s="63"/>
      <c r="C163" s="398"/>
      <c r="P163" s="63"/>
    </row>
    <row r="164" spans="2:16" s="62" customFormat="1" x14ac:dyDescent="0.2">
      <c r="B164" s="63"/>
      <c r="C164" s="39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</row>
    <row r="165" spans="2:16" s="62" customFormat="1" ht="15.6" customHeight="1" x14ac:dyDescent="0.2">
      <c r="B165" s="396" t="s">
        <v>378</v>
      </c>
      <c r="C165" s="396"/>
      <c r="D165" s="396"/>
      <c r="E165" s="396"/>
      <c r="F165" s="396"/>
      <c r="G165" s="396"/>
      <c r="H165" s="396"/>
      <c r="I165" s="396"/>
      <c r="J165" s="396"/>
      <c r="K165" s="396"/>
      <c r="L165" s="396"/>
      <c r="M165" s="396"/>
      <c r="N165" s="396"/>
      <c r="O165" s="396"/>
      <c r="P165" s="396"/>
    </row>
    <row r="166" spans="2:16" s="62" customFormat="1" ht="15.6" customHeight="1" x14ac:dyDescent="0.2">
      <c r="B166" s="396"/>
      <c r="C166" s="396"/>
      <c r="D166" s="396"/>
      <c r="E166" s="396"/>
      <c r="F166" s="396"/>
      <c r="G166" s="396"/>
      <c r="H166" s="396"/>
      <c r="I166" s="396"/>
      <c r="J166" s="396"/>
      <c r="K166" s="396"/>
      <c r="L166" s="396"/>
      <c r="M166" s="396"/>
      <c r="N166" s="396"/>
      <c r="O166" s="396"/>
      <c r="P166" s="396"/>
    </row>
    <row r="167" spans="2:16" s="62" customFormat="1" x14ac:dyDescent="0.2">
      <c r="B167" s="63"/>
      <c r="C167" s="79"/>
      <c r="D167" s="79"/>
      <c r="E167" s="79"/>
      <c r="F167" s="72"/>
      <c r="G167" s="72"/>
      <c r="H167" s="72"/>
      <c r="I167" s="72"/>
      <c r="J167" s="72"/>
      <c r="K167" s="80"/>
      <c r="L167" s="80"/>
      <c r="M167" s="72"/>
      <c r="N167" s="72"/>
      <c r="O167" s="72"/>
      <c r="P167" s="72"/>
    </row>
    <row r="168" spans="2:16" s="62" customFormat="1" ht="15.6" customHeight="1" x14ac:dyDescent="0.2"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78"/>
    </row>
    <row r="169" spans="2:16" s="62" customFormat="1" x14ac:dyDescent="0.2">
      <c r="B169" s="395" t="s">
        <v>403</v>
      </c>
      <c r="C169" s="395"/>
      <c r="D169" s="395"/>
      <c r="E169" s="395"/>
      <c r="F169" s="395"/>
      <c r="G169" s="395"/>
      <c r="H169" s="395"/>
      <c r="I169" s="395"/>
      <c r="J169" s="395"/>
      <c r="K169" s="395"/>
      <c r="L169" s="395"/>
      <c r="M169" s="395"/>
      <c r="N169" s="395"/>
      <c r="O169" s="395"/>
      <c r="P169" s="63"/>
    </row>
    <row r="170" spans="2:16" s="62" customFormat="1" x14ac:dyDescent="0.2">
      <c r="B170" s="395"/>
      <c r="C170" s="395"/>
      <c r="D170" s="395"/>
      <c r="E170" s="395"/>
      <c r="F170" s="395"/>
      <c r="G170" s="395"/>
      <c r="H170" s="395"/>
      <c r="I170" s="395"/>
      <c r="J170" s="395"/>
      <c r="K170" s="395"/>
      <c r="L170" s="395"/>
      <c r="M170" s="395"/>
      <c r="N170" s="395"/>
      <c r="O170" s="395"/>
      <c r="P170" s="63"/>
    </row>
    <row r="171" spans="2:16" s="62" customFormat="1" x14ac:dyDescent="0.2">
      <c r="P171" s="63"/>
    </row>
    <row r="172" spans="2:16" s="62" customFormat="1" ht="14.45" customHeight="1" x14ac:dyDescent="0.2">
      <c r="C172" s="416" t="str">
        <f>IF(OR('Información general'!N37="Pa",'Información general'!N37="hPa",'Información general'!N37="kPa"),"",_xlfn.CONCAT("La unidad de medición para la presión en el Sistema Internacional de Unidades es el Pascal (símbolo Pa) y su uso permite la diseminación de la trazabilidad metrológica en la calibración de instrumentos de presión."," Para la conversión del valor de la presión de referencia (expresado en Pa) a la unidad de medición del instrumento bajo calibración (",'Información general'!N37,"), se ha usado el factor de conversión 1 Pa = ",TEXT(LOOKUP('Información general'!N37,'Equipamiento y listas'!K49:K61,'Equipamiento y listas'!L49:L61),"0.000E+00")," ",'Información general'!N37,", tomado de la guía NIST Special Publication 811 Guide for the Use of the International System of Units (SI), 2008 edition, páginas 65 y 66."))</f>
        <v>La unidad de medición para la presión en el Sistema Internacional de Unidades es el Pascal (símbolo Pa) y su uso permite la diseminación de la trazabilidad metrológica en la calibración de instrumentos de presión. Para la conversión del valor de la presión de referencia (expresado en Pa) a la unidad de medición del instrumento bajo calibración (psi), se ha usado el factor de conversión 1 Pa = 1.450E-04 psi, tomado de la guía NIST Special Publication 811 Guide for the Use of the International System of Units (SI), 2008 edition, páginas 65 y 66.</v>
      </c>
      <c r="D172" s="416"/>
      <c r="E172" s="416"/>
      <c r="F172" s="416"/>
      <c r="G172" s="416"/>
      <c r="H172" s="416"/>
      <c r="I172" s="416"/>
      <c r="J172" s="416"/>
      <c r="K172" s="416"/>
      <c r="L172" s="416"/>
      <c r="M172" s="416"/>
      <c r="N172" s="416"/>
      <c r="O172" s="416"/>
      <c r="P172" s="416"/>
    </row>
    <row r="173" spans="2:16" s="71" customFormat="1" ht="14.45" customHeight="1" x14ac:dyDescent="0.2">
      <c r="B173" s="63"/>
      <c r="C173" s="416"/>
      <c r="D173" s="416"/>
      <c r="E173" s="416"/>
      <c r="F173" s="416"/>
      <c r="G173" s="416"/>
      <c r="H173" s="416"/>
      <c r="I173" s="416"/>
      <c r="J173" s="416"/>
      <c r="K173" s="416"/>
      <c r="L173" s="416"/>
      <c r="M173" s="416"/>
      <c r="N173" s="416"/>
      <c r="O173" s="416"/>
      <c r="P173" s="416"/>
    </row>
    <row r="174" spans="2:16" s="71" customFormat="1" ht="14.45" customHeight="1" x14ac:dyDescent="0.2">
      <c r="B174" s="63"/>
      <c r="C174" s="416"/>
      <c r="D174" s="416"/>
      <c r="E174" s="416"/>
      <c r="F174" s="416"/>
      <c r="G174" s="416"/>
      <c r="H174" s="416"/>
      <c r="I174" s="416"/>
      <c r="J174" s="416"/>
      <c r="K174" s="416"/>
      <c r="L174" s="416"/>
      <c r="M174" s="416"/>
      <c r="N174" s="416"/>
      <c r="O174" s="416"/>
      <c r="P174" s="416"/>
    </row>
    <row r="175" spans="2:16" s="62" customFormat="1" ht="14.45" customHeight="1" x14ac:dyDescent="0.2">
      <c r="B175" s="76"/>
      <c r="C175" s="416"/>
      <c r="D175" s="416"/>
      <c r="E175" s="416"/>
      <c r="F175" s="416"/>
      <c r="G175" s="416"/>
      <c r="H175" s="416"/>
      <c r="I175" s="416"/>
      <c r="J175" s="416"/>
      <c r="K175" s="416"/>
      <c r="L175" s="416"/>
      <c r="M175" s="416"/>
      <c r="N175" s="416"/>
      <c r="O175" s="416"/>
      <c r="P175" s="416"/>
    </row>
    <row r="176" spans="2:16" s="62" customFormat="1" ht="14.45" customHeight="1" x14ac:dyDescent="0.2">
      <c r="B176" s="76"/>
      <c r="C176" s="416"/>
      <c r="D176" s="416"/>
      <c r="E176" s="416"/>
      <c r="F176" s="416"/>
      <c r="G176" s="416"/>
      <c r="H176" s="416"/>
      <c r="I176" s="416"/>
      <c r="J176" s="416"/>
      <c r="K176" s="416"/>
      <c r="L176" s="416"/>
      <c r="M176" s="416"/>
      <c r="N176" s="416"/>
      <c r="O176" s="416"/>
      <c r="P176" s="416"/>
    </row>
    <row r="177" spans="2:16" s="62" customFormat="1" ht="14.25" x14ac:dyDescent="0.2"/>
    <row r="178" spans="2:16" s="62" customFormat="1" ht="14.25" x14ac:dyDescent="0.2"/>
    <row r="179" spans="2:16" s="62" customFormat="1" x14ac:dyDescent="0.2">
      <c r="B179" s="395" t="str">
        <f>IF(OR('Información general'!N37="Pa",'Información general'!N37="hPa",'Información general'!N37="kPa"),"8. TRAZABILIDAD METROLÓGICA","9. TRAZABILIDAD METROLÓGICA")</f>
        <v>9. TRAZABILIDAD METROLÓGICA</v>
      </c>
      <c r="C179" s="395"/>
      <c r="D179" s="395"/>
      <c r="E179" s="395"/>
      <c r="F179" s="395"/>
      <c r="G179" s="395"/>
      <c r="H179" s="395"/>
      <c r="I179" s="395"/>
      <c r="J179" s="395"/>
      <c r="K179" s="395"/>
      <c r="L179" s="395"/>
      <c r="M179" s="395"/>
      <c r="N179" s="395"/>
      <c r="O179" s="395"/>
      <c r="P179" s="63"/>
    </row>
    <row r="180" spans="2:16" s="62" customFormat="1" x14ac:dyDescent="0.2">
      <c r="B180" s="395"/>
      <c r="C180" s="395"/>
      <c r="D180" s="395"/>
      <c r="E180" s="395"/>
      <c r="F180" s="395"/>
      <c r="G180" s="395"/>
      <c r="H180" s="395"/>
      <c r="I180" s="395"/>
      <c r="J180" s="395"/>
      <c r="K180" s="395"/>
      <c r="L180" s="395"/>
      <c r="M180" s="395"/>
      <c r="N180" s="395"/>
      <c r="O180" s="395"/>
      <c r="P180" s="63"/>
    </row>
    <row r="181" spans="2:16" s="62" customFormat="1" x14ac:dyDescent="0.2">
      <c r="B181" s="63"/>
      <c r="C181" s="81"/>
      <c r="D181" s="81"/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63"/>
    </row>
    <row r="182" spans="2:16" s="62" customFormat="1" ht="15.6" customHeight="1" x14ac:dyDescent="0.2">
      <c r="B182" s="63"/>
      <c r="C182" s="416" t="s">
        <v>363</v>
      </c>
      <c r="D182" s="416"/>
      <c r="E182" s="416"/>
      <c r="F182" s="416"/>
      <c r="G182" s="416"/>
      <c r="H182" s="416"/>
      <c r="I182" s="416"/>
      <c r="J182" s="416"/>
      <c r="K182" s="416"/>
      <c r="L182" s="416"/>
      <c r="M182" s="416"/>
      <c r="N182" s="416"/>
      <c r="O182" s="416"/>
      <c r="P182" s="416"/>
    </row>
    <row r="183" spans="2:16" s="62" customFormat="1" x14ac:dyDescent="0.2">
      <c r="B183" s="63"/>
      <c r="C183" s="416"/>
      <c r="D183" s="416"/>
      <c r="E183" s="416"/>
      <c r="F183" s="416"/>
      <c r="G183" s="416"/>
      <c r="H183" s="416"/>
      <c r="I183" s="416"/>
      <c r="J183" s="416"/>
      <c r="K183" s="416"/>
      <c r="L183" s="416"/>
      <c r="M183" s="416"/>
      <c r="N183" s="416"/>
      <c r="O183" s="416"/>
      <c r="P183" s="416"/>
    </row>
    <row r="184" spans="2:16" s="62" customFormat="1" ht="15.95" customHeight="1" x14ac:dyDescent="0.2">
      <c r="B184" s="63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</row>
    <row r="185" spans="2:16" s="62" customFormat="1" ht="15.6" customHeight="1" x14ac:dyDescent="0.2">
      <c r="B185" s="63"/>
      <c r="C185" s="407" t="s">
        <v>364</v>
      </c>
      <c r="D185" s="417"/>
      <c r="E185" s="417"/>
      <c r="F185" s="417"/>
      <c r="G185" s="417"/>
      <c r="H185" s="417"/>
      <c r="I185" s="417"/>
      <c r="J185" s="417" t="s">
        <v>36</v>
      </c>
      <c r="K185" s="417"/>
      <c r="L185" s="417"/>
      <c r="M185" s="417" t="s">
        <v>365</v>
      </c>
      <c r="N185" s="417"/>
      <c r="O185" s="417" t="s">
        <v>39</v>
      </c>
      <c r="P185" s="420"/>
    </row>
    <row r="186" spans="2:16" s="62" customFormat="1" ht="15.6" customHeight="1" x14ac:dyDescent="0.2">
      <c r="B186" s="63"/>
      <c r="C186" s="418"/>
      <c r="D186" s="419"/>
      <c r="E186" s="419"/>
      <c r="F186" s="419"/>
      <c r="G186" s="419"/>
      <c r="H186" s="419"/>
      <c r="I186" s="419"/>
      <c r="J186" s="419"/>
      <c r="K186" s="419"/>
      <c r="L186" s="419"/>
      <c r="M186" s="419"/>
      <c r="N186" s="419"/>
      <c r="O186" s="419"/>
      <c r="P186" s="421"/>
    </row>
    <row r="187" spans="2:16" s="62" customFormat="1" x14ac:dyDescent="0.2">
      <c r="B187" s="63"/>
      <c r="C187" s="402"/>
      <c r="D187" s="400"/>
      <c r="E187" s="400"/>
      <c r="F187" s="400"/>
      <c r="G187" s="400"/>
      <c r="H187" s="400"/>
      <c r="I187" s="400"/>
      <c r="J187" s="400"/>
      <c r="K187" s="400"/>
      <c r="L187" s="400"/>
      <c r="M187" s="400"/>
      <c r="N187" s="400"/>
      <c r="O187" s="400"/>
      <c r="P187" s="422"/>
    </row>
    <row r="188" spans="2:16" s="62" customFormat="1" ht="15.6" customHeight="1" x14ac:dyDescent="0.2">
      <c r="B188" s="63"/>
      <c r="C188" s="423" t="e">
        <f>_xlfn.CONCAT('Información general'!L68," y con código interno ",'Información general'!H68)</f>
        <v>#N/A</v>
      </c>
      <c r="D188" s="423"/>
      <c r="E188" s="423"/>
      <c r="F188" s="423"/>
      <c r="G188" s="423"/>
      <c r="H188" s="423"/>
      <c r="I188" s="423"/>
      <c r="J188" s="424" t="e">
        <f>'Información general'!D70</f>
        <v>#N/A</v>
      </c>
      <c r="K188" s="424"/>
      <c r="L188" s="424"/>
      <c r="M188" s="425" t="e">
        <f>'Información general'!H70</f>
        <v>#N/A</v>
      </c>
      <c r="N188" s="425"/>
      <c r="O188" s="424" t="e">
        <f>'Información general'!L69</f>
        <v>#N/A</v>
      </c>
      <c r="P188" s="424"/>
    </row>
    <row r="189" spans="2:16" s="62" customFormat="1" ht="15.6" customHeight="1" x14ac:dyDescent="0.2">
      <c r="C189" s="414"/>
      <c r="D189" s="414"/>
      <c r="E189" s="414"/>
      <c r="F189" s="414"/>
      <c r="G189" s="414"/>
      <c r="H189" s="414"/>
      <c r="I189" s="414"/>
      <c r="J189" s="412"/>
      <c r="K189" s="412"/>
      <c r="L189" s="412"/>
      <c r="M189" s="413"/>
      <c r="N189" s="413"/>
      <c r="O189" s="412"/>
      <c r="P189" s="412"/>
    </row>
    <row r="190" spans="2:16" s="62" customFormat="1" x14ac:dyDescent="0.2">
      <c r="B190" s="63"/>
      <c r="C190" s="414" t="e">
        <f>_xlfn.CONCAT('Información general'!L72," y con código interno ",'Información general'!H72)</f>
        <v>#N/A</v>
      </c>
      <c r="D190" s="414"/>
      <c r="E190" s="414"/>
      <c r="F190" s="414"/>
      <c r="G190" s="414"/>
      <c r="H190" s="414"/>
      <c r="I190" s="414"/>
      <c r="J190" s="412" t="e">
        <f>'Información general'!D74</f>
        <v>#N/A</v>
      </c>
      <c r="K190" s="412"/>
      <c r="L190" s="412"/>
      <c r="M190" s="413" t="e">
        <f>'Información general'!H74</f>
        <v>#N/A</v>
      </c>
      <c r="N190" s="413"/>
      <c r="O190" s="412" t="e">
        <f>'Información general'!L73</f>
        <v>#N/A</v>
      </c>
      <c r="P190" s="412"/>
    </row>
    <row r="191" spans="2:16" s="63" customFormat="1" ht="15.6" customHeight="1" x14ac:dyDescent="0.2">
      <c r="C191" s="414"/>
      <c r="D191" s="414"/>
      <c r="E191" s="414"/>
      <c r="F191" s="414"/>
      <c r="G191" s="414"/>
      <c r="H191" s="414"/>
      <c r="I191" s="414"/>
      <c r="J191" s="412"/>
      <c r="K191" s="412"/>
      <c r="L191" s="412"/>
      <c r="M191" s="413"/>
      <c r="N191" s="413"/>
      <c r="O191" s="412"/>
      <c r="P191" s="412"/>
    </row>
    <row r="192" spans="2:16" s="63" customFormat="1" ht="15.75" x14ac:dyDescent="0.2">
      <c r="B192" s="62"/>
      <c r="C192" s="415" t="s">
        <v>402</v>
      </c>
      <c r="D192" s="415"/>
      <c r="E192" s="415"/>
      <c r="F192" s="415"/>
      <c r="G192" s="415"/>
      <c r="H192" s="415"/>
      <c r="I192" s="415"/>
      <c r="J192" s="415"/>
      <c r="K192" s="415"/>
      <c r="L192" s="415"/>
      <c r="M192" s="415"/>
      <c r="N192" s="415"/>
      <c r="O192" s="415"/>
      <c r="P192" s="415"/>
    </row>
    <row r="193" spans="2:16" s="63" customFormat="1" x14ac:dyDescent="0.2"/>
    <row r="194" spans="2:16" s="63" customFormat="1" ht="15.6" customHeight="1" x14ac:dyDescent="0.2"/>
    <row r="195" spans="2:16" s="63" customFormat="1" x14ac:dyDescent="0.2">
      <c r="B195" s="395" t="str">
        <f>IF(OR('Información general'!N37="Pa",'Información general'!N37="hPa",'Información general'!N37="kPa"),"9. REVISIÓN Y APROBACIÓN DEL CERTIFICADO DE CALIBRACIÓN","10. REVISIÓN Y APROBACIÓN DEL CERTIFICADO DE CALIBRACIÓN")</f>
        <v>10. REVISIÓN Y APROBACIÓN DEL CERTIFICADO DE CALIBRACIÓN</v>
      </c>
      <c r="C195" s="395"/>
      <c r="D195" s="395"/>
      <c r="E195" s="395"/>
      <c r="F195" s="395"/>
      <c r="G195" s="395"/>
      <c r="H195" s="395"/>
      <c r="I195" s="395"/>
      <c r="J195" s="395"/>
      <c r="K195" s="395"/>
      <c r="L195" s="395"/>
      <c r="M195" s="395"/>
      <c r="N195" s="395"/>
      <c r="O195" s="395"/>
    </row>
    <row r="196" spans="2:16" s="63" customFormat="1" x14ac:dyDescent="0.2">
      <c r="B196" s="395"/>
      <c r="C196" s="395"/>
      <c r="D196" s="395"/>
      <c r="E196" s="395"/>
      <c r="F196" s="395"/>
      <c r="G196" s="395"/>
      <c r="H196" s="395"/>
      <c r="I196" s="395"/>
      <c r="J196" s="395"/>
      <c r="K196" s="395"/>
      <c r="L196" s="395"/>
      <c r="M196" s="395"/>
      <c r="N196" s="395"/>
      <c r="O196" s="395"/>
    </row>
    <row r="197" spans="2:16" s="63" customFormat="1" x14ac:dyDescent="0.2">
      <c r="M197" s="83"/>
      <c r="N197" s="84"/>
    </row>
    <row r="198" spans="2:16" s="63" customFormat="1" x14ac:dyDescent="0.2">
      <c r="C198" s="406" t="s">
        <v>366</v>
      </c>
      <c r="D198" s="406"/>
      <c r="E198" s="407"/>
      <c r="F198" s="408" t="str">
        <f>'Información general'!E48</f>
        <v xml:space="preserve">Juan Felipe Calderón Ardila </v>
      </c>
      <c r="G198" s="392"/>
      <c r="H198" s="392"/>
      <c r="I198" s="409" t="s">
        <v>367</v>
      </c>
      <c r="J198" s="409"/>
      <c r="K198" s="409"/>
      <c r="L198" s="409"/>
      <c r="M198" s="410" t="s">
        <v>368</v>
      </c>
      <c r="N198" s="411"/>
      <c r="O198" s="411"/>
    </row>
    <row r="199" spans="2:16" s="63" customFormat="1" x14ac:dyDescent="0.2">
      <c r="C199" s="406"/>
      <c r="D199" s="406"/>
      <c r="E199" s="407"/>
      <c r="F199" s="408"/>
      <c r="G199" s="392"/>
      <c r="H199" s="392"/>
      <c r="I199" s="409"/>
      <c r="J199" s="409"/>
      <c r="K199" s="409"/>
      <c r="L199" s="409"/>
      <c r="M199" s="410"/>
      <c r="N199" s="411"/>
      <c r="O199" s="411"/>
    </row>
    <row r="200" spans="2:16" s="63" customFormat="1" x14ac:dyDescent="0.2">
      <c r="C200" s="406"/>
      <c r="D200" s="406"/>
      <c r="E200" s="407"/>
      <c r="F200" s="408" t="str">
        <f>'Información general'!E49</f>
        <v xml:space="preserve">Coordinador Operaciones </v>
      </c>
      <c r="G200" s="392"/>
      <c r="H200" s="392"/>
      <c r="I200" s="409"/>
      <c r="J200" s="409"/>
      <c r="K200" s="409"/>
      <c r="L200" s="409"/>
      <c r="M200" s="410"/>
      <c r="N200" s="411"/>
      <c r="O200" s="411"/>
    </row>
    <row r="201" spans="2:16" s="63" customFormat="1" x14ac:dyDescent="0.2">
      <c r="C201" s="406"/>
      <c r="D201" s="406"/>
      <c r="E201" s="407"/>
      <c r="F201" s="408"/>
      <c r="G201" s="392"/>
      <c r="H201" s="392"/>
      <c r="I201" s="409"/>
      <c r="J201" s="409"/>
      <c r="K201" s="409"/>
      <c r="L201" s="409"/>
      <c r="M201" s="410"/>
      <c r="N201" s="411"/>
      <c r="O201" s="411"/>
    </row>
    <row r="202" spans="2:16" s="63" customFormat="1" x14ac:dyDescent="0.2">
      <c r="M202" s="83"/>
      <c r="N202" s="84"/>
    </row>
    <row r="203" spans="2:16" s="63" customFormat="1" ht="18" x14ac:dyDescent="0.25">
      <c r="G203" s="62"/>
      <c r="H203" s="385" t="str">
        <f>O142</f>
        <v>pág 3 de 3</v>
      </c>
      <c r="I203" s="385"/>
      <c r="J203" s="385"/>
      <c r="K203" s="385"/>
      <c r="L203" s="62"/>
      <c r="M203" s="62"/>
      <c r="N203" s="62"/>
      <c r="O203" s="62"/>
    </row>
    <row r="204" spans="2:16" s="63" customFormat="1" x14ac:dyDescent="0.2">
      <c r="G204" s="62"/>
      <c r="H204" s="62"/>
      <c r="I204" s="62"/>
      <c r="J204" s="62"/>
      <c r="K204" s="62"/>
      <c r="L204" s="62"/>
      <c r="M204" s="62"/>
      <c r="N204" s="62"/>
      <c r="O204" s="62"/>
    </row>
    <row r="205" spans="2:16" s="63" customFormat="1" ht="15.6" customHeight="1" x14ac:dyDescent="0.25">
      <c r="B205" s="66"/>
      <c r="C205" s="66"/>
      <c r="D205" s="66"/>
      <c r="E205" s="66"/>
      <c r="F205" s="66"/>
      <c r="G205" s="62"/>
      <c r="H205" s="385" t="s">
        <v>359</v>
      </c>
      <c r="I205" s="385"/>
      <c r="J205" s="385"/>
      <c r="K205" s="385"/>
      <c r="L205" s="62"/>
      <c r="M205" s="62"/>
      <c r="N205" s="62"/>
      <c r="O205" s="62"/>
    </row>
    <row r="206" spans="2:16" s="63" customFormat="1" ht="18" x14ac:dyDescent="0.25">
      <c r="B206" s="66"/>
      <c r="C206" s="66"/>
      <c r="D206" s="66"/>
      <c r="E206" s="66"/>
      <c r="F206" s="66"/>
      <c r="G206" s="62"/>
      <c r="H206" s="385" t="s">
        <v>369</v>
      </c>
      <c r="I206" s="385"/>
      <c r="J206" s="385"/>
      <c r="K206" s="385"/>
      <c r="L206" s="62"/>
      <c r="M206" s="62"/>
      <c r="N206" s="62"/>
      <c r="O206" s="62"/>
    </row>
    <row r="207" spans="2:16" s="62" customFormat="1" x14ac:dyDescent="0.2"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</row>
    <row r="208" spans="2:16" s="62" customFormat="1" ht="15.75" x14ac:dyDescent="0.25">
      <c r="B208" s="161"/>
      <c r="C208" s="216" t="s">
        <v>421</v>
      </c>
      <c r="D208" s="216"/>
      <c r="E208" s="216"/>
      <c r="F208" s="216" t="s">
        <v>422</v>
      </c>
      <c r="G208" s="216"/>
      <c r="H208" s="216" t="s">
        <v>423</v>
      </c>
      <c r="I208" s="217"/>
      <c r="J208" s="63"/>
      <c r="K208" s="63"/>
      <c r="L208" s="63"/>
      <c r="M208" s="63"/>
      <c r="N208" s="63"/>
      <c r="O208" s="63"/>
      <c r="P208" s="63"/>
    </row>
    <row r="209" spans="2:16" s="62" customFormat="1" ht="15.75" x14ac:dyDescent="0.25">
      <c r="B209" s="142" t="s">
        <v>424</v>
      </c>
      <c r="C209" s="221" t="str">
        <f>'Información general'!B81</f>
        <v>Juan Felipe Calderón</v>
      </c>
      <c r="D209" s="218"/>
      <c r="E209" s="218"/>
      <c r="F209" s="218" t="str">
        <f>'Información general'!E81</f>
        <v>Cristian González</v>
      </c>
      <c r="G209" s="218"/>
      <c r="H209" s="218" t="str">
        <f>'Información general'!G81</f>
        <v>Alejandro Bedoya</v>
      </c>
      <c r="I209" s="218"/>
      <c r="J209" s="63"/>
      <c r="K209" s="63"/>
      <c r="L209" s="63"/>
      <c r="M209" s="63"/>
      <c r="N209" s="63"/>
      <c r="O209" s="63"/>
      <c r="P209" s="63"/>
    </row>
    <row r="210" spans="2:16" s="62" customFormat="1" ht="15.75" x14ac:dyDescent="0.25">
      <c r="B210" s="142" t="s">
        <v>428</v>
      </c>
      <c r="C210" s="221" t="str">
        <f>'Información general'!B82</f>
        <v>Coordinador de operaciones</v>
      </c>
      <c r="D210" s="218"/>
      <c r="E210" s="218"/>
      <c r="F210" s="218" t="str">
        <f>'Información general'!E82</f>
        <v>Director técnico</v>
      </c>
      <c r="G210" s="218"/>
      <c r="H210" s="218" t="str">
        <f>'Información general'!G82</f>
        <v>Gerente Operativo</v>
      </c>
      <c r="I210" s="218"/>
      <c r="J210" s="63"/>
      <c r="K210" s="63"/>
      <c r="L210" s="63"/>
      <c r="M210" s="63"/>
      <c r="N210" s="63"/>
      <c r="O210" s="63"/>
      <c r="P210" s="63"/>
    </row>
    <row r="211" spans="2:16" s="62" customFormat="1" ht="15.75" x14ac:dyDescent="0.25">
      <c r="B211" s="143" t="s">
        <v>432</v>
      </c>
      <c r="C211" s="295">
        <f>'Información general'!B83</f>
        <v>45442</v>
      </c>
      <c r="D211" s="296"/>
      <c r="E211" s="296"/>
      <c r="F211" s="296">
        <f>'Información general'!E83</f>
        <v>45442</v>
      </c>
      <c r="G211" s="296"/>
      <c r="H211" s="296">
        <f>'Información general'!G83</f>
        <v>45477</v>
      </c>
      <c r="I211" s="296"/>
      <c r="J211" s="63"/>
      <c r="K211" s="63"/>
      <c r="L211" s="63"/>
      <c r="M211" s="63"/>
      <c r="N211" s="63"/>
      <c r="O211" s="63"/>
      <c r="P211" s="63"/>
    </row>
    <row r="212" spans="2:16" s="62" customFormat="1" x14ac:dyDescent="0.2"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</row>
    <row r="213" spans="2:16" s="62" customFormat="1" x14ac:dyDescent="0.2"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</row>
    <row r="214" spans="2:16" s="62" customFormat="1" x14ac:dyDescent="0.2"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</row>
    <row r="215" spans="2:16" s="62" customFormat="1" x14ac:dyDescent="0.2"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</row>
    <row r="216" spans="2:16" s="62" customFormat="1" x14ac:dyDescent="0.2"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</row>
    <row r="217" spans="2:16" s="62" customFormat="1" x14ac:dyDescent="0.2"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</row>
    <row r="218" spans="2:16" s="62" customFormat="1" x14ac:dyDescent="0.2"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</row>
    <row r="219" spans="2:16" s="62" customFormat="1" x14ac:dyDescent="0.2"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</row>
    <row r="220" spans="2:16" s="62" customFormat="1" x14ac:dyDescent="0.2"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</row>
    <row r="221" spans="2:16" s="62" customFormat="1" x14ac:dyDescent="0.2"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</row>
    <row r="222" spans="2:16" s="62" customFormat="1" x14ac:dyDescent="0.2"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</row>
    <row r="223" spans="2:16" s="62" customFormat="1" x14ac:dyDescent="0.2"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</row>
    <row r="224" spans="2:16" s="62" customFormat="1" x14ac:dyDescent="0.2"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</row>
    <row r="225" spans="2:16" s="62" customFormat="1" x14ac:dyDescent="0.2"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</row>
    <row r="226" spans="2:16" s="62" customFormat="1" x14ac:dyDescent="0.2">
      <c r="B226" s="63"/>
      <c r="C226" s="63"/>
      <c r="D226" s="63"/>
      <c r="E226" s="63"/>
      <c r="F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</row>
    <row r="227" spans="2:16" s="62" customFormat="1" x14ac:dyDescent="0.2">
      <c r="B227" s="63"/>
      <c r="C227" s="63"/>
      <c r="D227" s="63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</row>
    <row r="228" spans="2:16" s="62" customFormat="1" x14ac:dyDescent="0.2">
      <c r="B228" s="63"/>
      <c r="C228" s="63"/>
      <c r="D228" s="63"/>
      <c r="E228" s="63"/>
      <c r="F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</row>
    <row r="229" spans="2:16" s="62" customFormat="1" x14ac:dyDescent="0.2"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</row>
    <row r="230" spans="2:16" s="62" customFormat="1" x14ac:dyDescent="0.2">
      <c r="B230" s="63"/>
      <c r="C230" s="63"/>
      <c r="D230" s="63"/>
      <c r="E230" s="63"/>
      <c r="F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</row>
    <row r="231" spans="2:16" s="62" customFormat="1" x14ac:dyDescent="0.2">
      <c r="B231" s="63"/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</row>
    <row r="232" spans="2:16" s="62" customFormat="1" x14ac:dyDescent="0.2">
      <c r="B232" s="63"/>
      <c r="C232" s="63"/>
      <c r="D232" s="63"/>
      <c r="E232" s="63"/>
      <c r="F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</row>
    <row r="233" spans="2:16" s="62" customFormat="1" x14ac:dyDescent="0.2">
      <c r="B233" s="63"/>
      <c r="C233" s="63"/>
      <c r="D233" s="63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</row>
    <row r="234" spans="2:16" s="62" customFormat="1" x14ac:dyDescent="0.2">
      <c r="B234" s="63"/>
      <c r="C234" s="63"/>
      <c r="D234" s="63"/>
      <c r="E234" s="63"/>
      <c r="F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</row>
    <row r="235" spans="2:16" s="62" customFormat="1" x14ac:dyDescent="0.2">
      <c r="B235" s="63"/>
      <c r="C235" s="63"/>
      <c r="D235" s="63"/>
      <c r="E235" s="63"/>
      <c r="F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</row>
    <row r="236" spans="2:16" s="62" customFormat="1" x14ac:dyDescent="0.2">
      <c r="B236" s="63"/>
      <c r="C236" s="63"/>
      <c r="D236" s="63"/>
      <c r="E236" s="63"/>
      <c r="F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</row>
    <row r="237" spans="2:16" s="62" customFormat="1" x14ac:dyDescent="0.2">
      <c r="B237" s="63"/>
      <c r="C237" s="63"/>
      <c r="D237" s="63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</row>
    <row r="238" spans="2:16" s="62" customFormat="1" x14ac:dyDescent="0.2">
      <c r="B238" s="63"/>
      <c r="C238" s="63"/>
      <c r="D238" s="63"/>
      <c r="E238" s="63"/>
      <c r="F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</row>
    <row r="239" spans="2:16" s="62" customFormat="1" x14ac:dyDescent="0.2"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</row>
    <row r="240" spans="2:16" s="62" customFormat="1" x14ac:dyDescent="0.2">
      <c r="B240" s="63"/>
      <c r="C240" s="63"/>
      <c r="D240" s="63"/>
      <c r="E240" s="63"/>
      <c r="F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</row>
    <row r="241" spans="2:16" s="62" customFormat="1" x14ac:dyDescent="0.2">
      <c r="B241" s="63"/>
      <c r="C241" s="63"/>
      <c r="D241" s="63"/>
      <c r="E241" s="63"/>
      <c r="F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</row>
    <row r="242" spans="2:16" s="62" customFormat="1" x14ac:dyDescent="0.2">
      <c r="B242" s="63"/>
      <c r="C242" s="63"/>
      <c r="D242" s="63"/>
      <c r="E242" s="63"/>
      <c r="F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</row>
    <row r="243" spans="2:16" s="62" customFormat="1" x14ac:dyDescent="0.2">
      <c r="B243" s="63"/>
      <c r="C243" s="63"/>
      <c r="D243" s="63"/>
      <c r="E243" s="63"/>
      <c r="F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</row>
    <row r="244" spans="2:16" s="62" customFormat="1" x14ac:dyDescent="0.2">
      <c r="B244" s="63"/>
      <c r="C244" s="63"/>
      <c r="D244" s="63"/>
      <c r="E244" s="63"/>
      <c r="F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</row>
    <row r="245" spans="2:16" s="62" customFormat="1" x14ac:dyDescent="0.2">
      <c r="B245" s="63"/>
      <c r="C245" s="63"/>
      <c r="D245" s="63"/>
      <c r="E245" s="63"/>
      <c r="F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</row>
    <row r="246" spans="2:16" s="62" customFormat="1" x14ac:dyDescent="0.2">
      <c r="B246" s="63"/>
      <c r="C246" s="63"/>
      <c r="D246" s="63"/>
      <c r="E246" s="63"/>
      <c r="F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</row>
    <row r="247" spans="2:16" s="62" customFormat="1" x14ac:dyDescent="0.2">
      <c r="B247" s="63"/>
      <c r="C247" s="63"/>
      <c r="D247" s="63"/>
      <c r="E247" s="63"/>
      <c r="F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</row>
    <row r="248" spans="2:16" s="62" customFormat="1" x14ac:dyDescent="0.2">
      <c r="B248" s="63"/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</row>
    <row r="249" spans="2:16" s="62" customFormat="1" x14ac:dyDescent="0.2">
      <c r="B249" s="63"/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</row>
    <row r="250" spans="2:16" s="62" customFormat="1" x14ac:dyDescent="0.2">
      <c r="B250" s="63"/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</row>
    <row r="251" spans="2:16" s="62" customFormat="1" x14ac:dyDescent="0.2">
      <c r="B251" s="63"/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</row>
    <row r="252" spans="2:16" s="62" customFormat="1" x14ac:dyDescent="0.2"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</row>
    <row r="253" spans="2:16" s="62" customFormat="1" x14ac:dyDescent="0.2"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</row>
    <row r="254" spans="2:16" s="62" customFormat="1" x14ac:dyDescent="0.2"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</row>
    <row r="255" spans="2:16" s="62" customFormat="1" x14ac:dyDescent="0.2"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</row>
    <row r="256" spans="2:16" s="62" customFormat="1" x14ac:dyDescent="0.2"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</row>
    <row r="257" spans="2:16" s="62" customFormat="1" x14ac:dyDescent="0.2"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</row>
    <row r="258" spans="2:16" s="62" customFormat="1" x14ac:dyDescent="0.2"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</row>
    <row r="259" spans="2:16" s="62" customFormat="1" x14ac:dyDescent="0.2"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</row>
    <row r="260" spans="2:16" s="62" customFormat="1" x14ac:dyDescent="0.2"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</row>
    <row r="261" spans="2:16" s="62" customFormat="1" x14ac:dyDescent="0.2"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</row>
    <row r="262" spans="2:16" s="62" customFormat="1" x14ac:dyDescent="0.2"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</row>
    <row r="263" spans="2:16" s="62" customFormat="1" x14ac:dyDescent="0.2"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</row>
    <row r="264" spans="2:16" s="62" customFormat="1" x14ac:dyDescent="0.2"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</row>
    <row r="265" spans="2:16" s="62" customFormat="1" x14ac:dyDescent="0.2"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</row>
    <row r="266" spans="2:16" s="62" customFormat="1" x14ac:dyDescent="0.2"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</row>
    <row r="267" spans="2:16" s="62" customFormat="1" x14ac:dyDescent="0.2"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</row>
    <row r="268" spans="2:16" s="62" customFormat="1" x14ac:dyDescent="0.2">
      <c r="B268" s="63"/>
      <c r="C268" s="63"/>
      <c r="D268" s="63"/>
      <c r="E268" s="63"/>
      <c r="F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</row>
    <row r="269" spans="2:16" s="62" customFormat="1" x14ac:dyDescent="0.2">
      <c r="B269" s="63"/>
      <c r="C269" s="63"/>
      <c r="D269" s="63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</row>
    <row r="270" spans="2:16" s="62" customFormat="1" x14ac:dyDescent="0.2">
      <c r="B270" s="63"/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</row>
    <row r="271" spans="2:16" s="62" customFormat="1" x14ac:dyDescent="0.2">
      <c r="B271" s="63"/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</row>
    <row r="272" spans="2:16" s="62" customFormat="1" x14ac:dyDescent="0.2">
      <c r="B272" s="63"/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</row>
    <row r="273" spans="2:16" s="62" customFormat="1" x14ac:dyDescent="0.2">
      <c r="B273" s="63"/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</row>
    <row r="274" spans="2:16" s="62" customFormat="1" x14ac:dyDescent="0.2">
      <c r="B274" s="63"/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</row>
    <row r="275" spans="2:16" s="62" customFormat="1" x14ac:dyDescent="0.2"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</row>
    <row r="276" spans="2:16" s="62" customFormat="1" x14ac:dyDescent="0.2"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</row>
    <row r="277" spans="2:16" s="62" customFormat="1" x14ac:dyDescent="0.2"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</row>
    <row r="278" spans="2:16" s="62" customFormat="1" x14ac:dyDescent="0.2"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</row>
    <row r="279" spans="2:16" s="62" customFormat="1" x14ac:dyDescent="0.2"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</row>
    <row r="280" spans="2:16" s="62" customFormat="1" x14ac:dyDescent="0.2"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</row>
    <row r="281" spans="2:16" s="62" customFormat="1" x14ac:dyDescent="0.2"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</row>
    <row r="282" spans="2:16" s="62" customFormat="1" x14ac:dyDescent="0.2"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</row>
    <row r="283" spans="2:16" s="62" customFormat="1" x14ac:dyDescent="0.2"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</row>
    <row r="284" spans="2:16" s="62" customFormat="1" x14ac:dyDescent="0.2"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</row>
    <row r="285" spans="2:16" s="62" customFormat="1" x14ac:dyDescent="0.2"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</row>
    <row r="286" spans="2:16" s="62" customFormat="1" x14ac:dyDescent="0.2"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</row>
    <row r="287" spans="2:16" s="62" customFormat="1" x14ac:dyDescent="0.2"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</row>
    <row r="288" spans="2:16" s="62" customFormat="1" x14ac:dyDescent="0.2"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</row>
    <row r="289" spans="2:16" s="62" customFormat="1" x14ac:dyDescent="0.2"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</row>
    <row r="290" spans="2:16" s="62" customFormat="1" x14ac:dyDescent="0.2">
      <c r="B290" s="63"/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</row>
    <row r="291" spans="2:16" s="62" customFormat="1" x14ac:dyDescent="0.2">
      <c r="B291" s="63"/>
      <c r="C291" s="63"/>
      <c r="D291" s="63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</row>
    <row r="292" spans="2:16" s="62" customFormat="1" x14ac:dyDescent="0.2">
      <c r="B292" s="63"/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</row>
    <row r="293" spans="2:16" s="62" customFormat="1" x14ac:dyDescent="0.2">
      <c r="B293" s="63"/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</row>
    <row r="294" spans="2:16" s="62" customFormat="1" x14ac:dyDescent="0.2">
      <c r="B294" s="63"/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</row>
    <row r="295" spans="2:16" s="62" customFormat="1" x14ac:dyDescent="0.2"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</row>
    <row r="296" spans="2:16" s="62" customFormat="1" x14ac:dyDescent="0.2"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</row>
    <row r="297" spans="2:16" s="62" customFormat="1" x14ac:dyDescent="0.2"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</row>
    <row r="298" spans="2:16" s="62" customFormat="1" x14ac:dyDescent="0.2"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</row>
    <row r="299" spans="2:16" s="62" customFormat="1" x14ac:dyDescent="0.2"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</row>
    <row r="300" spans="2:16" s="62" customFormat="1" x14ac:dyDescent="0.2"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</row>
    <row r="301" spans="2:16" s="62" customFormat="1" x14ac:dyDescent="0.2"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</row>
    <row r="302" spans="2:16" s="62" customFormat="1" x14ac:dyDescent="0.2"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</row>
    <row r="303" spans="2:16" s="62" customFormat="1" x14ac:dyDescent="0.2"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</row>
    <row r="304" spans="2:16" s="62" customFormat="1" x14ac:dyDescent="0.2"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</row>
    <row r="305" spans="2:16" s="62" customFormat="1" x14ac:dyDescent="0.2"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</row>
    <row r="306" spans="2:16" s="62" customFormat="1" x14ac:dyDescent="0.2"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</row>
    <row r="307" spans="2:16" s="62" customFormat="1" x14ac:dyDescent="0.2"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</row>
    <row r="308" spans="2:16" s="62" customFormat="1" x14ac:dyDescent="0.2"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</row>
    <row r="309" spans="2:16" s="62" customFormat="1" x14ac:dyDescent="0.2"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</row>
    <row r="310" spans="2:16" s="62" customFormat="1" x14ac:dyDescent="0.2"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</row>
    <row r="311" spans="2:16" s="62" customFormat="1" x14ac:dyDescent="0.2"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</row>
    <row r="312" spans="2:16" s="62" customFormat="1" x14ac:dyDescent="0.2">
      <c r="B312" s="63"/>
      <c r="C312" s="63"/>
      <c r="D312" s="63"/>
      <c r="E312" s="63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</row>
    <row r="313" spans="2:16" s="62" customFormat="1" x14ac:dyDescent="0.2">
      <c r="B313" s="63"/>
      <c r="C313" s="63"/>
      <c r="D313" s="63"/>
      <c r="E313" s="63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</row>
    <row r="314" spans="2:16" s="62" customFormat="1" x14ac:dyDescent="0.2">
      <c r="B314" s="63"/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</row>
    <row r="315" spans="2:16" s="62" customFormat="1" x14ac:dyDescent="0.2"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</row>
    <row r="316" spans="2:16" s="62" customFormat="1" x14ac:dyDescent="0.2">
      <c r="B316" s="63"/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</row>
    <row r="317" spans="2:16" s="62" customFormat="1" x14ac:dyDescent="0.2">
      <c r="B317" s="63"/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</row>
    <row r="318" spans="2:16" s="62" customFormat="1" x14ac:dyDescent="0.2">
      <c r="B318" s="63"/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</row>
    <row r="319" spans="2:16" s="62" customFormat="1" x14ac:dyDescent="0.2">
      <c r="B319" s="63"/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</row>
    <row r="320" spans="2:16" s="62" customFormat="1" x14ac:dyDescent="0.2">
      <c r="B320" s="63"/>
      <c r="C320" s="63"/>
      <c r="D320" s="63"/>
      <c r="E320" s="63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</row>
    <row r="321" spans="2:16" s="62" customFormat="1" x14ac:dyDescent="0.2"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</row>
    <row r="322" spans="2:16" s="62" customFormat="1" x14ac:dyDescent="0.2">
      <c r="B322" s="63"/>
      <c r="C322" s="63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</row>
    <row r="323" spans="2:16" s="62" customFormat="1" x14ac:dyDescent="0.2">
      <c r="B323" s="63"/>
      <c r="C323" s="63"/>
      <c r="D323" s="63"/>
      <c r="E323" s="63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</row>
    <row r="324" spans="2:16" s="62" customFormat="1" x14ac:dyDescent="0.2">
      <c r="B324" s="63"/>
      <c r="C324" s="63"/>
      <c r="D324" s="63"/>
      <c r="E324" s="63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</row>
    <row r="325" spans="2:16" s="62" customFormat="1" x14ac:dyDescent="0.2">
      <c r="B325" s="63"/>
      <c r="C325" s="63"/>
      <c r="D325" s="63"/>
      <c r="E325" s="63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</row>
    <row r="326" spans="2:16" s="62" customFormat="1" x14ac:dyDescent="0.2">
      <c r="B326" s="63"/>
      <c r="C326" s="63"/>
      <c r="D326" s="63"/>
      <c r="E326" s="63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</row>
    <row r="327" spans="2:16" s="62" customFormat="1" x14ac:dyDescent="0.2">
      <c r="B327" s="63"/>
      <c r="C327" s="63"/>
      <c r="D327" s="63"/>
      <c r="E327" s="63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</row>
    <row r="328" spans="2:16" s="62" customFormat="1" x14ac:dyDescent="0.2">
      <c r="B328" s="63"/>
      <c r="C328" s="63"/>
      <c r="D328" s="63"/>
      <c r="E328" s="63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</row>
    <row r="329" spans="2:16" s="62" customFormat="1" x14ac:dyDescent="0.2">
      <c r="B329" s="63"/>
      <c r="C329" s="63"/>
      <c r="D329" s="63"/>
      <c r="E329" s="63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</row>
    <row r="330" spans="2:16" s="62" customFormat="1" x14ac:dyDescent="0.2">
      <c r="B330" s="63"/>
      <c r="C330" s="63"/>
      <c r="D330" s="63"/>
      <c r="E330" s="63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</row>
    <row r="331" spans="2:16" s="62" customFormat="1" x14ac:dyDescent="0.2">
      <c r="B331" s="63"/>
      <c r="C331" s="63"/>
      <c r="D331" s="63"/>
      <c r="E331" s="63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</row>
    <row r="332" spans="2:16" s="62" customFormat="1" x14ac:dyDescent="0.2">
      <c r="B332" s="63"/>
      <c r="C332" s="63"/>
      <c r="D332" s="63"/>
      <c r="E332" s="63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</row>
    <row r="333" spans="2:16" s="62" customFormat="1" x14ac:dyDescent="0.2">
      <c r="B333" s="63"/>
      <c r="C333" s="63"/>
      <c r="D333" s="63"/>
      <c r="E333" s="63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</row>
    <row r="334" spans="2:16" s="62" customFormat="1" x14ac:dyDescent="0.2">
      <c r="B334" s="63"/>
      <c r="C334" s="63"/>
      <c r="D334" s="63"/>
      <c r="E334" s="63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</row>
    <row r="335" spans="2:16" s="62" customFormat="1" x14ac:dyDescent="0.2">
      <c r="B335" s="63"/>
      <c r="C335" s="63"/>
      <c r="D335" s="63"/>
      <c r="E335" s="63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</row>
    <row r="336" spans="2:16" s="62" customFormat="1" x14ac:dyDescent="0.2">
      <c r="B336" s="63"/>
      <c r="C336" s="63"/>
      <c r="D336" s="63"/>
      <c r="E336" s="63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</row>
    <row r="337" spans="2:16" s="62" customFormat="1" x14ac:dyDescent="0.2">
      <c r="B337" s="63"/>
      <c r="C337" s="63"/>
      <c r="D337" s="63"/>
      <c r="E337" s="63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</row>
    <row r="338" spans="2:16" s="62" customFormat="1" x14ac:dyDescent="0.2">
      <c r="B338" s="63"/>
      <c r="C338" s="63"/>
      <c r="D338" s="63"/>
      <c r="E338" s="63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</row>
    <row r="339" spans="2:16" s="62" customFormat="1" x14ac:dyDescent="0.2">
      <c r="B339" s="63"/>
      <c r="C339" s="63"/>
      <c r="D339" s="63"/>
      <c r="E339" s="63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</row>
    <row r="340" spans="2:16" s="62" customFormat="1" x14ac:dyDescent="0.2">
      <c r="B340" s="63"/>
      <c r="C340" s="63"/>
      <c r="D340" s="63"/>
      <c r="E340" s="63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</row>
    <row r="341" spans="2:16" s="62" customFormat="1" x14ac:dyDescent="0.2">
      <c r="B341" s="63"/>
      <c r="C341" s="63"/>
      <c r="D341" s="63"/>
      <c r="E341" s="63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</row>
    <row r="342" spans="2:16" s="62" customFormat="1" x14ac:dyDescent="0.2">
      <c r="B342" s="63"/>
      <c r="C342" s="63"/>
      <c r="D342" s="63"/>
      <c r="E342" s="63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</row>
    <row r="343" spans="2:16" s="62" customFormat="1" x14ac:dyDescent="0.2">
      <c r="B343" s="63"/>
      <c r="C343" s="63"/>
      <c r="D343" s="63"/>
      <c r="E343" s="63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</row>
    <row r="344" spans="2:16" s="62" customFormat="1" x14ac:dyDescent="0.2">
      <c r="B344" s="63"/>
      <c r="C344" s="63"/>
      <c r="D344" s="63"/>
      <c r="E344" s="63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</row>
    <row r="345" spans="2:16" s="62" customFormat="1" x14ac:dyDescent="0.2">
      <c r="B345" s="63"/>
      <c r="C345" s="63"/>
      <c r="D345" s="63"/>
      <c r="E345" s="63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</row>
    <row r="346" spans="2:16" s="62" customFormat="1" x14ac:dyDescent="0.2">
      <c r="B346" s="63"/>
      <c r="C346" s="63"/>
      <c r="D346" s="63"/>
      <c r="E346" s="63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</row>
    <row r="347" spans="2:16" s="62" customFormat="1" x14ac:dyDescent="0.2">
      <c r="B347" s="63"/>
      <c r="C347" s="63"/>
      <c r="D347" s="63"/>
      <c r="E347" s="63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</row>
    <row r="348" spans="2:16" s="62" customFormat="1" x14ac:dyDescent="0.2">
      <c r="B348" s="63"/>
      <c r="C348" s="63"/>
      <c r="D348" s="63"/>
      <c r="E348" s="63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</row>
    <row r="349" spans="2:16" s="62" customFormat="1" x14ac:dyDescent="0.2">
      <c r="B349" s="63"/>
      <c r="C349" s="63"/>
      <c r="D349" s="63"/>
      <c r="E349" s="63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</row>
    <row r="350" spans="2:16" s="62" customFormat="1" x14ac:dyDescent="0.2">
      <c r="B350" s="63"/>
      <c r="C350" s="63"/>
      <c r="D350" s="63"/>
      <c r="E350" s="63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</row>
    <row r="351" spans="2:16" s="62" customFormat="1" x14ac:dyDescent="0.2">
      <c r="B351" s="63"/>
      <c r="C351" s="63"/>
      <c r="D351" s="63"/>
      <c r="E351" s="63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</row>
    <row r="352" spans="2:16" s="62" customFormat="1" x14ac:dyDescent="0.2">
      <c r="B352" s="63"/>
      <c r="C352" s="63"/>
      <c r="D352" s="63"/>
      <c r="E352" s="63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</row>
    <row r="353" spans="2:16" s="62" customFormat="1" x14ac:dyDescent="0.2">
      <c r="B353" s="63"/>
      <c r="C353" s="63"/>
      <c r="D353" s="63"/>
      <c r="E353" s="63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</row>
    <row r="354" spans="2:16" s="62" customFormat="1" x14ac:dyDescent="0.2"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</row>
    <row r="355" spans="2:16" s="62" customFormat="1" x14ac:dyDescent="0.2">
      <c r="B355" s="63"/>
      <c r="C355" s="63"/>
      <c r="D355" s="63"/>
      <c r="E355" s="63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</row>
    <row r="356" spans="2:16" s="62" customFormat="1" x14ac:dyDescent="0.2">
      <c r="B356" s="63"/>
      <c r="C356" s="63"/>
      <c r="D356" s="63"/>
      <c r="E356" s="63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</row>
    <row r="357" spans="2:16" s="62" customFormat="1" x14ac:dyDescent="0.2">
      <c r="B357" s="63"/>
      <c r="C357" s="63"/>
      <c r="D357" s="63"/>
      <c r="E357" s="63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</row>
    <row r="358" spans="2:16" s="62" customFormat="1" x14ac:dyDescent="0.2"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</row>
    <row r="359" spans="2:16" s="62" customFormat="1" x14ac:dyDescent="0.2"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</row>
    <row r="360" spans="2:16" s="62" customFormat="1" x14ac:dyDescent="0.2"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</row>
    <row r="361" spans="2:16" s="62" customFormat="1" x14ac:dyDescent="0.2"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</row>
    <row r="362" spans="2:16" s="62" customFormat="1" x14ac:dyDescent="0.2"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</row>
    <row r="363" spans="2:16" s="62" customFormat="1" x14ac:dyDescent="0.2"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</row>
    <row r="364" spans="2:16" s="62" customFormat="1" x14ac:dyDescent="0.2"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</row>
    <row r="365" spans="2:16" s="62" customFormat="1" x14ac:dyDescent="0.2"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</row>
    <row r="366" spans="2:16" s="62" customFormat="1" x14ac:dyDescent="0.2"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</row>
    <row r="367" spans="2:16" s="62" customFormat="1" x14ac:dyDescent="0.2"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</row>
    <row r="368" spans="2:16" s="62" customFormat="1" x14ac:dyDescent="0.2"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</row>
    <row r="369" spans="2:16" s="62" customFormat="1" x14ac:dyDescent="0.2"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</row>
    <row r="370" spans="2:16" s="62" customFormat="1" x14ac:dyDescent="0.2"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</row>
    <row r="371" spans="2:16" s="62" customFormat="1" x14ac:dyDescent="0.2"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</row>
    <row r="372" spans="2:16" s="62" customFormat="1" x14ac:dyDescent="0.2"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</row>
    <row r="373" spans="2:16" s="62" customFormat="1" x14ac:dyDescent="0.2"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</row>
    <row r="374" spans="2:16" s="62" customFormat="1" x14ac:dyDescent="0.2"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</row>
    <row r="375" spans="2:16" s="62" customFormat="1" x14ac:dyDescent="0.2"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</row>
    <row r="376" spans="2:16" s="62" customFormat="1" x14ac:dyDescent="0.2"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</row>
    <row r="377" spans="2:16" s="62" customFormat="1" x14ac:dyDescent="0.2"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</row>
    <row r="378" spans="2:16" s="62" customFormat="1" x14ac:dyDescent="0.2"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</row>
    <row r="379" spans="2:16" s="62" customFormat="1" x14ac:dyDescent="0.2">
      <c r="B379" s="63"/>
      <c r="C379" s="63"/>
      <c r="D379" s="63"/>
      <c r="E379" s="63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</row>
    <row r="380" spans="2:16" s="62" customFormat="1" x14ac:dyDescent="0.2">
      <c r="B380" s="63"/>
      <c r="C380" s="63"/>
      <c r="D380" s="63"/>
      <c r="E380" s="63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</row>
    <row r="381" spans="2:16" s="62" customFormat="1" x14ac:dyDescent="0.2">
      <c r="B381" s="63"/>
      <c r="C381" s="63"/>
      <c r="D381" s="63"/>
      <c r="E381" s="63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</row>
    <row r="382" spans="2:16" s="62" customFormat="1" x14ac:dyDescent="0.2">
      <c r="B382" s="63"/>
      <c r="C382" s="63"/>
      <c r="D382" s="63"/>
      <c r="E382" s="63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</row>
    <row r="383" spans="2:16" s="62" customFormat="1" x14ac:dyDescent="0.2">
      <c r="B383" s="63"/>
      <c r="C383" s="63"/>
      <c r="D383" s="63"/>
      <c r="E383" s="63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</row>
    <row r="384" spans="2:16" s="62" customFormat="1" x14ac:dyDescent="0.2">
      <c r="B384" s="63"/>
      <c r="C384" s="63"/>
      <c r="D384" s="63"/>
      <c r="E384" s="63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</row>
    <row r="385" spans="2:16" s="62" customFormat="1" x14ac:dyDescent="0.2">
      <c r="B385" s="63"/>
      <c r="C385" s="63"/>
      <c r="D385" s="63"/>
      <c r="E385" s="63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</row>
    <row r="386" spans="2:16" s="62" customFormat="1" x14ac:dyDescent="0.2">
      <c r="B386" s="63"/>
      <c r="C386" s="63"/>
      <c r="D386" s="63"/>
      <c r="E386" s="63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</row>
    <row r="387" spans="2:16" s="62" customFormat="1" x14ac:dyDescent="0.2">
      <c r="B387" s="63"/>
      <c r="C387" s="63"/>
      <c r="D387" s="63"/>
      <c r="E387" s="63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</row>
    <row r="388" spans="2:16" s="62" customFormat="1" x14ac:dyDescent="0.2">
      <c r="B388" s="63"/>
      <c r="C388" s="63"/>
      <c r="D388" s="63"/>
      <c r="E388" s="63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</row>
    <row r="389" spans="2:16" s="62" customFormat="1" x14ac:dyDescent="0.2">
      <c r="B389" s="63"/>
      <c r="C389" s="63"/>
      <c r="D389" s="63"/>
      <c r="E389" s="63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</row>
    <row r="390" spans="2:16" s="62" customFormat="1" x14ac:dyDescent="0.2">
      <c r="B390" s="63"/>
      <c r="C390" s="63"/>
      <c r="D390" s="63"/>
      <c r="E390" s="63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</row>
    <row r="391" spans="2:16" s="62" customFormat="1" x14ac:dyDescent="0.2">
      <c r="B391" s="63"/>
      <c r="C391" s="63"/>
      <c r="D391" s="63"/>
      <c r="E391" s="63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</row>
    <row r="392" spans="2:16" s="62" customFormat="1" x14ac:dyDescent="0.2">
      <c r="B392" s="63"/>
      <c r="C392" s="63"/>
      <c r="D392" s="63"/>
      <c r="E392" s="63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</row>
    <row r="393" spans="2:16" s="62" customFormat="1" x14ac:dyDescent="0.2">
      <c r="B393" s="63"/>
      <c r="C393" s="63"/>
      <c r="D393" s="63"/>
      <c r="E393" s="63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</row>
    <row r="394" spans="2:16" s="62" customFormat="1" x14ac:dyDescent="0.2">
      <c r="B394" s="63"/>
      <c r="C394" s="63"/>
      <c r="D394" s="63"/>
      <c r="E394" s="63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</row>
    <row r="395" spans="2:16" s="62" customFormat="1" x14ac:dyDescent="0.2">
      <c r="B395" s="63"/>
      <c r="C395" s="63"/>
      <c r="D395" s="63"/>
      <c r="E395" s="63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</row>
    <row r="396" spans="2:16" s="62" customFormat="1" x14ac:dyDescent="0.2">
      <c r="B396" s="63"/>
      <c r="C396" s="63"/>
      <c r="D396" s="63"/>
      <c r="E396" s="63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</row>
    <row r="397" spans="2:16" s="62" customFormat="1" x14ac:dyDescent="0.2">
      <c r="B397" s="63"/>
      <c r="C397" s="63"/>
      <c r="D397" s="63"/>
      <c r="E397" s="63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</row>
    <row r="398" spans="2:16" s="62" customFormat="1" x14ac:dyDescent="0.2">
      <c r="B398" s="63"/>
      <c r="C398" s="63"/>
      <c r="D398" s="63"/>
      <c r="E398" s="63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</row>
    <row r="399" spans="2:16" s="62" customFormat="1" x14ac:dyDescent="0.2"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</row>
    <row r="400" spans="2:16" s="62" customFormat="1" x14ac:dyDescent="0.2"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</row>
    <row r="401" spans="2:16" s="62" customFormat="1" x14ac:dyDescent="0.2"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</row>
    <row r="402" spans="2:16" s="62" customFormat="1" x14ac:dyDescent="0.2"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</row>
    <row r="403" spans="2:16" s="62" customFormat="1" x14ac:dyDescent="0.2"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</row>
    <row r="404" spans="2:16" s="62" customFormat="1" x14ac:dyDescent="0.2"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</row>
    <row r="405" spans="2:16" s="62" customFormat="1" x14ac:dyDescent="0.2"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</row>
    <row r="406" spans="2:16" s="62" customFormat="1" ht="14.25" x14ac:dyDescent="0.2"/>
    <row r="407" spans="2:16" s="62" customFormat="1" ht="14.25" x14ac:dyDescent="0.2"/>
    <row r="408" spans="2:16" s="62" customFormat="1" ht="14.25" x14ac:dyDescent="0.2"/>
    <row r="409" spans="2:16" s="62" customFormat="1" ht="14.25" x14ac:dyDescent="0.2"/>
    <row r="410" spans="2:16" s="62" customFormat="1" ht="14.25" x14ac:dyDescent="0.2"/>
    <row r="411" spans="2:16" s="62" customFormat="1" ht="14.25" x14ac:dyDescent="0.2"/>
    <row r="412" spans="2:16" s="62" customFormat="1" ht="14.25" x14ac:dyDescent="0.2"/>
    <row r="413" spans="2:16" s="62" customFormat="1" ht="14.25" x14ac:dyDescent="0.2"/>
  </sheetData>
  <sheetProtection algorithmName="SHA-512" hashValue="0vAmbSsgsXns60y760qV7zHgsSI/KOntciy2nt2UOzXEfnjU7e6CDkh2dWQ7d8kVlpq8BG2KPOyBua2OC+Jb0w==" saltValue="fTTRhvnTabIjboqwIvS5ug==" spinCount="100000" sheet="1" deleteRows="0"/>
  <mergeCells count="249">
    <mergeCell ref="M127:N127"/>
    <mergeCell ref="M128:N128"/>
    <mergeCell ref="C172:P176"/>
    <mergeCell ref="M115:N118"/>
    <mergeCell ref="M119:N119"/>
    <mergeCell ref="M120:N120"/>
    <mergeCell ref="M121:N121"/>
    <mergeCell ref="M122:N122"/>
    <mergeCell ref="M123:N123"/>
    <mergeCell ref="M124:N124"/>
    <mergeCell ref="M125:N125"/>
    <mergeCell ref="M126:N126"/>
    <mergeCell ref="F117:G118"/>
    <mergeCell ref="F119:G119"/>
    <mergeCell ref="F120:G120"/>
    <mergeCell ref="F121:G121"/>
    <mergeCell ref="F122:G122"/>
    <mergeCell ref="F123:G123"/>
    <mergeCell ref="F124:G124"/>
    <mergeCell ref="F125:G125"/>
    <mergeCell ref="F126:G126"/>
    <mergeCell ref="F127:G127"/>
    <mergeCell ref="H115:I118"/>
    <mergeCell ref="J123:L123"/>
    <mergeCell ref="J124:L124"/>
    <mergeCell ref="E96:H97"/>
    <mergeCell ref="G100:H100"/>
    <mergeCell ref="G101:H101"/>
    <mergeCell ref="G102:H102"/>
    <mergeCell ref="G103:H103"/>
    <mergeCell ref="G104:H104"/>
    <mergeCell ref="G105:H105"/>
    <mergeCell ref="G106:H106"/>
    <mergeCell ref="G107:H107"/>
    <mergeCell ref="H124:I124"/>
    <mergeCell ref="E104:F104"/>
    <mergeCell ref="E105:F105"/>
    <mergeCell ref="E106:F106"/>
    <mergeCell ref="E107:F107"/>
    <mergeCell ref="E108:F108"/>
    <mergeCell ref="E109:F109"/>
    <mergeCell ref="D119:E119"/>
    <mergeCell ref="C105:D105"/>
    <mergeCell ref="C106:D106"/>
    <mergeCell ref="C107:D107"/>
    <mergeCell ref="C108:D108"/>
    <mergeCell ref="C101:D101"/>
    <mergeCell ref="B112:O113"/>
    <mergeCell ref="B169:O170"/>
    <mergeCell ref="K99:L99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C110:O110"/>
    <mergeCell ref="G98:H99"/>
    <mergeCell ref="G108:H108"/>
    <mergeCell ref="G109:H109"/>
    <mergeCell ref="B129:P129"/>
    <mergeCell ref="O115:O118"/>
    <mergeCell ref="P115:P118"/>
    <mergeCell ref="H119:I119"/>
    <mergeCell ref="H120:I120"/>
    <mergeCell ref="H121:I121"/>
    <mergeCell ref="H122:I122"/>
    <mergeCell ref="H123:I123"/>
    <mergeCell ref="F18:J19"/>
    <mergeCell ref="J125:L125"/>
    <mergeCell ref="J126:L126"/>
    <mergeCell ref="J127:L127"/>
    <mergeCell ref="J128:L128"/>
    <mergeCell ref="B122:C122"/>
    <mergeCell ref="D122:E122"/>
    <mergeCell ref="B123:C123"/>
    <mergeCell ref="D123:E123"/>
    <mergeCell ref="B124:C124"/>
    <mergeCell ref="D124:E124"/>
    <mergeCell ref="B125:C125"/>
    <mergeCell ref="D125:E125"/>
    <mergeCell ref="B126:C126"/>
    <mergeCell ref="D126:E126"/>
    <mergeCell ref="H125:I125"/>
    <mergeCell ref="B127:C127"/>
    <mergeCell ref="D127:E127"/>
    <mergeCell ref="B128:C128"/>
    <mergeCell ref="D128:E128"/>
    <mergeCell ref="H126:I126"/>
    <mergeCell ref="H127:I127"/>
    <mergeCell ref="F128:G128"/>
    <mergeCell ref="J115:L118"/>
    <mergeCell ref="F44:J44"/>
    <mergeCell ref="B32:E32"/>
    <mergeCell ref="F32:J32"/>
    <mergeCell ref="B34:E34"/>
    <mergeCell ref="F34:J34"/>
    <mergeCell ref="B36:E36"/>
    <mergeCell ref="F36:J36"/>
    <mergeCell ref="F26:J27"/>
    <mergeCell ref="F20:J21"/>
    <mergeCell ref="F22:J23"/>
    <mergeCell ref="F28:J29"/>
    <mergeCell ref="B38:E38"/>
    <mergeCell ref="F38:J38"/>
    <mergeCell ref="O8:P9"/>
    <mergeCell ref="B12:P14"/>
    <mergeCell ref="A1:C6"/>
    <mergeCell ref="D1:N6"/>
    <mergeCell ref="O1:Q2"/>
    <mergeCell ref="O3:Q4"/>
    <mergeCell ref="O5:Q6"/>
    <mergeCell ref="B26:E26"/>
    <mergeCell ref="B18:E18"/>
    <mergeCell ref="L18:P18"/>
    <mergeCell ref="B20:E20"/>
    <mergeCell ref="L20:P51"/>
    <mergeCell ref="B22:E22"/>
    <mergeCell ref="B24:E24"/>
    <mergeCell ref="F24:J24"/>
    <mergeCell ref="B40:E40"/>
    <mergeCell ref="F40:J40"/>
    <mergeCell ref="B42:E42"/>
    <mergeCell ref="F42:J42"/>
    <mergeCell ref="I8:N9"/>
    <mergeCell ref="B28:E28"/>
    <mergeCell ref="B30:E30"/>
    <mergeCell ref="F30:J30"/>
    <mergeCell ref="B44:E44"/>
    <mergeCell ref="C56:P56"/>
    <mergeCell ref="C57:P57"/>
    <mergeCell ref="B46:E46"/>
    <mergeCell ref="F46:J46"/>
    <mergeCell ref="B48:E48"/>
    <mergeCell ref="F48:J48"/>
    <mergeCell ref="B50:E50"/>
    <mergeCell ref="F50:J50"/>
    <mergeCell ref="B53:F53"/>
    <mergeCell ref="C55:P55"/>
    <mergeCell ref="B132:O133"/>
    <mergeCell ref="C135:P138"/>
    <mergeCell ref="H140:K140"/>
    <mergeCell ref="H141:K141"/>
    <mergeCell ref="I72:N73"/>
    <mergeCell ref="O72:P73"/>
    <mergeCell ref="B75:O76"/>
    <mergeCell ref="B93:O94"/>
    <mergeCell ref="C78:P79"/>
    <mergeCell ref="I96:O97"/>
    <mergeCell ref="I98:J98"/>
    <mergeCell ref="K98:M98"/>
    <mergeCell ref="N98:O98"/>
    <mergeCell ref="C109:D109"/>
    <mergeCell ref="E98:F99"/>
    <mergeCell ref="E100:F100"/>
    <mergeCell ref="E101:F101"/>
    <mergeCell ref="E102:F102"/>
    <mergeCell ref="E103:F103"/>
    <mergeCell ref="C100:D100"/>
    <mergeCell ref="J119:L119"/>
    <mergeCell ref="J120:L120"/>
    <mergeCell ref="J121:L121"/>
    <mergeCell ref="J122:L122"/>
    <mergeCell ref="C90:D90"/>
    <mergeCell ref="C85:G87"/>
    <mergeCell ref="J85:J87"/>
    <mergeCell ref="I85:I87"/>
    <mergeCell ref="K85:L87"/>
    <mergeCell ref="K88:L88"/>
    <mergeCell ref="K89:L89"/>
    <mergeCell ref="K90:L90"/>
    <mergeCell ref="C104:D104"/>
    <mergeCell ref="C91:O91"/>
    <mergeCell ref="E90:G90"/>
    <mergeCell ref="C96:D99"/>
    <mergeCell ref="B62:O63"/>
    <mergeCell ref="C65:P68"/>
    <mergeCell ref="H70:K70"/>
    <mergeCell ref="H71:K71"/>
    <mergeCell ref="N85:O87"/>
    <mergeCell ref="N88:O88"/>
    <mergeCell ref="E89:G89"/>
    <mergeCell ref="E88:G88"/>
    <mergeCell ref="C88:D88"/>
    <mergeCell ref="C89:D89"/>
    <mergeCell ref="R115:R118"/>
    <mergeCell ref="B82:O83"/>
    <mergeCell ref="C198:E201"/>
    <mergeCell ref="F198:H199"/>
    <mergeCell ref="I198:L201"/>
    <mergeCell ref="M198:O201"/>
    <mergeCell ref="F200:H201"/>
    <mergeCell ref="H203:K203"/>
    <mergeCell ref="O190:P191"/>
    <mergeCell ref="M190:N191"/>
    <mergeCell ref="J190:L191"/>
    <mergeCell ref="C190:I191"/>
    <mergeCell ref="C192:P192"/>
    <mergeCell ref="B195:O196"/>
    <mergeCell ref="C182:P183"/>
    <mergeCell ref="C185:I187"/>
    <mergeCell ref="J185:L187"/>
    <mergeCell ref="M185:N187"/>
    <mergeCell ref="O185:P187"/>
    <mergeCell ref="C188:I189"/>
    <mergeCell ref="J188:L189"/>
    <mergeCell ref="M188:N189"/>
    <mergeCell ref="O188:P189"/>
    <mergeCell ref="C102:D102"/>
    <mergeCell ref="C58:P59"/>
    <mergeCell ref="H205:K205"/>
    <mergeCell ref="H206:K206"/>
    <mergeCell ref="H85:H87"/>
    <mergeCell ref="M85:M87"/>
    <mergeCell ref="N89:O89"/>
    <mergeCell ref="N90:O90"/>
    <mergeCell ref="C103:D103"/>
    <mergeCell ref="I142:N143"/>
    <mergeCell ref="O142:P143"/>
    <mergeCell ref="B145:O146"/>
    <mergeCell ref="B165:P166"/>
    <mergeCell ref="C147:O147"/>
    <mergeCell ref="C148:C164"/>
    <mergeCell ref="B179:O180"/>
    <mergeCell ref="H128:I128"/>
    <mergeCell ref="D115:G116"/>
    <mergeCell ref="B115:C118"/>
    <mergeCell ref="D117:E118"/>
    <mergeCell ref="B119:C119"/>
    <mergeCell ref="B120:C120"/>
    <mergeCell ref="D120:E120"/>
    <mergeCell ref="B121:C121"/>
    <mergeCell ref="D121:E121"/>
    <mergeCell ref="C211:E211"/>
    <mergeCell ref="F211:G211"/>
    <mergeCell ref="H211:I211"/>
    <mergeCell ref="C208:E208"/>
    <mergeCell ref="F208:G208"/>
    <mergeCell ref="H208:I208"/>
    <mergeCell ref="C209:E209"/>
    <mergeCell ref="F209:G209"/>
    <mergeCell ref="H209:I209"/>
    <mergeCell ref="C210:E210"/>
    <mergeCell ref="F210:G210"/>
    <mergeCell ref="H210:I210"/>
  </mergeCells>
  <conditionalFormatting sqref="N89:N90">
    <cfRule type="containsText" dxfId="22" priority="7" operator="containsText" text="No">
      <formula>NOT(ISERROR(SEARCH("No",N89)))</formula>
    </cfRule>
    <cfRule type="containsText" dxfId="21" priority="8" operator="containsText" text="Sí">
      <formula>NOT(ISERROR(SEARCH("Sí",N89)))</formula>
    </cfRule>
  </conditionalFormatting>
  <conditionalFormatting sqref="N88">
    <cfRule type="containsText" dxfId="20" priority="9" operator="containsText" text="No">
      <formula>NOT(ISERROR(SEARCH("No",N88)))</formula>
    </cfRule>
    <cfRule type="containsText" dxfId="19" priority="10" operator="containsText" text="Sí">
      <formula>NOT(ISERROR(SEARCH("Sí",N88)))</formula>
    </cfRule>
  </conditionalFormatting>
  <conditionalFormatting sqref="B12:P14">
    <cfRule type="containsText" dxfId="18" priority="4" operator="containsText" text="FALSO">
      <formula>NOT(ISERROR(SEARCH("FALSO",B12)))</formula>
    </cfRule>
  </conditionalFormatting>
  <conditionalFormatting sqref="I8:N9">
    <cfRule type="containsText" dxfId="17" priority="3" operator="containsText" text="FALSO">
      <formula>NOT(ISERROR(SEARCH("FALSO",I8)))</formula>
    </cfRule>
  </conditionalFormatting>
  <conditionalFormatting sqref="I72:N73">
    <cfRule type="containsText" dxfId="16" priority="2" operator="containsText" text="FALSO">
      <formula>NOT(ISERROR(SEARCH("FALSO",I72)))</formula>
    </cfRule>
  </conditionalFormatting>
  <conditionalFormatting sqref="I142:N143">
    <cfRule type="containsText" dxfId="15" priority="1" operator="containsText" text="FALSO">
      <formula>NOT(ISERROR(SEARCH("FALSO",I142)))</formula>
    </cfRule>
  </conditionalFormatting>
  <pageMargins left="0.70866141732283472" right="0.70866141732283472" top="1.5354330708661419" bottom="1.3385826771653544" header="0.59055118110236227" footer="0.39370078740157483"/>
  <pageSetup paperSize="9" scale="54" fitToHeight="0" orientation="portrait" r:id="rId1"/>
  <headerFooter>
    <oddHeader>&amp;L     &amp;G&amp;C
&amp;G</oddHeader>
    <oddFooter>&amp;C&amp;G</oddFooter>
  </headerFooter>
  <rowBreaks count="3" manualBreakCount="3">
    <brk id="71" max="16383" man="1"/>
    <brk id="141" max="16383" man="1"/>
    <brk id="206" max="16383" man="1"/>
  </rowBreaks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85DF69A7-0C48-484B-996B-D6B145EDD987}">
            <xm:f>IF(OR('Información general'!N37="Pa",'Información general'!N37="hPa",'Información general'!N37="kPa"),TRUE())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B169:O170</xm:sqref>
        </x14:conditionalFormatting>
        <x14:conditionalFormatting xmlns:xm="http://schemas.microsoft.com/office/excel/2006/main">
          <x14:cfRule type="expression" priority="5" id="{FA8AFB63-1608-477D-BAEC-EE47D90DD8D8}">
            <xm:f>IF(OR('Información general'!N37="Pa",'Información general'!N37="hPa",'Información general'!N37="kPa"),TRUE())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C172:P175 C176</xm:sqref>
        </x14:conditionalFormatting>
        <x14:conditionalFormatting xmlns:xm="http://schemas.microsoft.com/office/excel/2006/main">
          <x14:cfRule type="expression" priority="133" id="{FA8AFB63-1608-477D-BAEC-EE47D90DD8D8}">
            <xm:f>IF(OR('Información general'!O43="Pa",'Información general'!O43="hPa",'Información general'!O43="kPa"),TRUE())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K176:P176 D176</xm:sqref>
        </x14:conditionalFormatting>
        <x14:conditionalFormatting xmlns:xm="http://schemas.microsoft.com/office/excel/2006/main">
          <x14:cfRule type="expression" priority="141" id="{FA8AFB63-1608-477D-BAEC-EE47D90DD8D8}">
            <xm:f>IF(OR('Información general'!#REF!="Pa",'Información general'!#REF!="hPa",'Información general'!#REF!="kPa"),TRUE())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E176:J176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C4C-2039-47AE-B493-EE2DE02B2F41}">
  <dimension ref="A1:B25"/>
  <sheetViews>
    <sheetView topLeftCell="A7" zoomScaleNormal="100" workbookViewId="0">
      <selection activeCell="B20" sqref="B20"/>
    </sheetView>
  </sheetViews>
  <sheetFormatPr baseColWidth="10" defaultRowHeight="15" x14ac:dyDescent="0.25"/>
  <cols>
    <col min="1" max="1" width="20.28515625" customWidth="1"/>
    <col min="2" max="13" width="12.5703125" customWidth="1"/>
  </cols>
  <sheetData>
    <row r="1" spans="1:2" x14ac:dyDescent="0.25">
      <c r="A1" s="721" t="s">
        <v>518</v>
      </c>
      <c r="B1" s="721"/>
    </row>
    <row r="2" spans="1:2" x14ac:dyDescent="0.25">
      <c r="A2" s="718" t="s">
        <v>519</v>
      </c>
      <c r="B2" s="718"/>
    </row>
    <row r="3" spans="1:2" x14ac:dyDescent="0.25">
      <c r="A3" s="718" t="s">
        <v>520</v>
      </c>
      <c r="B3" s="718"/>
    </row>
    <row r="4" spans="1:2" x14ac:dyDescent="0.25">
      <c r="A4" s="718" t="s">
        <v>521</v>
      </c>
      <c r="B4" s="718"/>
    </row>
    <row r="5" spans="1:2" x14ac:dyDescent="0.25">
      <c r="A5" s="718" t="s">
        <v>522</v>
      </c>
      <c r="B5" s="718"/>
    </row>
    <row r="6" spans="1:2" x14ac:dyDescent="0.25">
      <c r="A6" s="718" t="s">
        <v>523</v>
      </c>
      <c r="B6" s="718"/>
    </row>
    <row r="7" spans="1:2" x14ac:dyDescent="0.25">
      <c r="A7" s="718" t="s">
        <v>524</v>
      </c>
      <c r="B7" s="718"/>
    </row>
    <row r="8" spans="1:2" x14ac:dyDescent="0.25">
      <c r="A8" s="718" t="s">
        <v>525</v>
      </c>
      <c r="B8" s="718"/>
    </row>
    <row r="9" spans="1:2" x14ac:dyDescent="0.25">
      <c r="A9" s="718" t="s">
        <v>526</v>
      </c>
      <c r="B9" s="718"/>
    </row>
    <row r="10" spans="1:2" x14ac:dyDescent="0.25">
      <c r="A10" s="718" t="s">
        <v>527</v>
      </c>
      <c r="B10" s="719"/>
    </row>
    <row r="11" spans="1:2" x14ac:dyDescent="0.25">
      <c r="A11" s="718" t="s">
        <v>528</v>
      </c>
      <c r="B11" s="718"/>
    </row>
    <row r="12" spans="1:2" x14ac:dyDescent="0.25">
      <c r="A12" s="718" t="s">
        <v>529</v>
      </c>
      <c r="B12" s="720"/>
    </row>
    <row r="13" spans="1:2" x14ac:dyDescent="0.25">
      <c r="A13" s="718" t="s">
        <v>530</v>
      </c>
      <c r="B13" s="718"/>
    </row>
    <row r="14" spans="1:2" x14ac:dyDescent="0.25">
      <c r="A14" s="718" t="s">
        <v>531</v>
      </c>
      <c r="B14" s="718"/>
    </row>
    <row r="15" spans="1:2" x14ac:dyDescent="0.25">
      <c r="A15" s="718" t="s">
        <v>532</v>
      </c>
      <c r="B15" s="718"/>
    </row>
    <row r="16" spans="1:2" x14ac:dyDescent="0.25">
      <c r="A16" s="718" t="s">
        <v>533</v>
      </c>
      <c r="B16" s="718"/>
    </row>
    <row r="17" spans="1:2" x14ac:dyDescent="0.25">
      <c r="A17" s="718" t="s">
        <v>534</v>
      </c>
      <c r="B17" s="718"/>
    </row>
    <row r="18" spans="1:2" x14ac:dyDescent="0.25">
      <c r="A18" s="718" t="s">
        <v>535</v>
      </c>
      <c r="B18" s="718"/>
    </row>
    <row r="19" spans="1:2" x14ac:dyDescent="0.25">
      <c r="A19" s="718" t="s">
        <v>536</v>
      </c>
      <c r="B19" s="718"/>
    </row>
    <row r="20" spans="1:2" x14ac:dyDescent="0.25">
      <c r="A20" s="718" t="s">
        <v>537</v>
      </c>
      <c r="B20" s="718"/>
    </row>
    <row r="21" spans="1:2" x14ac:dyDescent="0.25">
      <c r="A21" s="718" t="s">
        <v>538</v>
      </c>
      <c r="B21" s="718"/>
    </row>
    <row r="22" spans="1:2" x14ac:dyDescent="0.25">
      <c r="A22" s="718" t="s">
        <v>539</v>
      </c>
      <c r="B22" s="718"/>
    </row>
    <row r="23" spans="1:2" x14ac:dyDescent="0.25">
      <c r="A23" s="718" t="s">
        <v>540</v>
      </c>
      <c r="B23" s="718"/>
    </row>
    <row r="24" spans="1:2" x14ac:dyDescent="0.25">
      <c r="A24" s="718" t="s">
        <v>541</v>
      </c>
      <c r="B24" s="718"/>
    </row>
    <row r="25" spans="1:2" x14ac:dyDescent="0.25">
      <c r="A25" s="718" t="s">
        <v>542</v>
      </c>
      <c r="B25" s="718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B2F03-4A49-42ED-B8C8-1F1D3A499E1B}">
  <dimension ref="A1:R832"/>
  <sheetViews>
    <sheetView zoomScaleNormal="100" workbookViewId="0">
      <selection activeCell="A7" sqref="A7"/>
    </sheetView>
  </sheetViews>
  <sheetFormatPr baseColWidth="10" defaultRowHeight="15" x14ac:dyDescent="0.25"/>
  <cols>
    <col min="2" max="22" width="15.5703125" customWidth="1"/>
  </cols>
  <sheetData>
    <row r="1" spans="1:15" ht="15" customHeight="1" thickBot="1" x14ac:dyDescent="0.3">
      <c r="A1" s="470"/>
      <c r="B1" s="470"/>
      <c r="C1" s="470"/>
      <c r="D1" s="565" t="s">
        <v>237</v>
      </c>
      <c r="E1" s="565"/>
      <c r="F1" s="565"/>
      <c r="G1" s="565"/>
      <c r="H1" s="565"/>
      <c r="I1" s="565"/>
      <c r="J1" s="564" t="s">
        <v>408</v>
      </c>
      <c r="K1" s="564"/>
      <c r="L1" s="564"/>
    </row>
    <row r="2" spans="1:15" ht="15" customHeight="1" thickBot="1" x14ac:dyDescent="0.3">
      <c r="A2" s="470"/>
      <c r="B2" s="470"/>
      <c r="C2" s="470"/>
      <c r="D2" s="565"/>
      <c r="E2" s="565"/>
      <c r="F2" s="565"/>
      <c r="G2" s="565"/>
      <c r="H2" s="565"/>
      <c r="I2" s="565"/>
      <c r="J2" s="564"/>
      <c r="K2" s="564"/>
      <c r="L2" s="564"/>
    </row>
    <row r="3" spans="1:15" ht="15" customHeight="1" thickBot="1" x14ac:dyDescent="0.3">
      <c r="A3" s="470"/>
      <c r="B3" s="470"/>
      <c r="C3" s="470"/>
      <c r="D3" s="565"/>
      <c r="E3" s="565"/>
      <c r="F3" s="565"/>
      <c r="G3" s="565"/>
      <c r="H3" s="565"/>
      <c r="I3" s="565"/>
      <c r="J3" s="564" t="s">
        <v>479</v>
      </c>
      <c r="K3" s="564"/>
      <c r="L3" s="564"/>
    </row>
    <row r="4" spans="1:15" ht="15" customHeight="1" thickBot="1" x14ac:dyDescent="0.3">
      <c r="A4" s="470"/>
      <c r="B4" s="470"/>
      <c r="C4" s="470"/>
      <c r="D4" s="565"/>
      <c r="E4" s="565"/>
      <c r="F4" s="565"/>
      <c r="G4" s="565"/>
      <c r="H4" s="565"/>
      <c r="I4" s="565"/>
      <c r="J4" s="564"/>
      <c r="K4" s="564"/>
      <c r="L4" s="564"/>
    </row>
    <row r="5" spans="1:15" ht="15" customHeight="1" thickBot="1" x14ac:dyDescent="0.3">
      <c r="A5" s="470"/>
      <c r="B5" s="470"/>
      <c r="C5" s="470"/>
      <c r="D5" s="565"/>
      <c r="E5" s="565"/>
      <c r="F5" s="565"/>
      <c r="G5" s="565"/>
      <c r="H5" s="565"/>
      <c r="I5" s="565"/>
      <c r="J5" s="564" t="s">
        <v>478</v>
      </c>
      <c r="K5" s="564"/>
      <c r="L5" s="564"/>
    </row>
    <row r="6" spans="1:15" ht="15" customHeight="1" thickBot="1" x14ac:dyDescent="0.3">
      <c r="A6" s="470"/>
      <c r="B6" s="470"/>
      <c r="C6" s="470"/>
      <c r="D6" s="565"/>
      <c r="E6" s="565"/>
      <c r="F6" s="565"/>
      <c r="G6" s="565"/>
      <c r="H6" s="565"/>
      <c r="I6" s="565"/>
      <c r="J6" s="564"/>
      <c r="K6" s="564"/>
      <c r="L6" s="564"/>
    </row>
    <row r="8" spans="1:15" ht="24.95" customHeight="1" x14ac:dyDescent="0.25">
      <c r="A8" s="536" t="s">
        <v>192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</row>
    <row r="10" spans="1:15" x14ac:dyDescent="0.25">
      <c r="B10" s="537" t="s">
        <v>60</v>
      </c>
      <c r="C10" s="505"/>
      <c r="D10" s="505"/>
      <c r="E10" s="505"/>
      <c r="F10" s="505"/>
      <c r="G10" s="506"/>
      <c r="I10" s="508" t="s">
        <v>61</v>
      </c>
      <c r="J10" s="508"/>
      <c r="K10" s="508"/>
      <c r="L10" s="508"/>
      <c r="M10" s="508"/>
      <c r="N10" s="508"/>
    </row>
    <row r="11" spans="1:15" x14ac:dyDescent="0.25">
      <c r="B11" s="538"/>
      <c r="C11" s="508"/>
      <c r="D11" s="508"/>
      <c r="E11" s="508"/>
      <c r="F11" s="508"/>
      <c r="G11" s="509"/>
      <c r="I11" s="508"/>
      <c r="J11" s="508"/>
      <c r="K11" s="508"/>
      <c r="L11" s="508"/>
      <c r="M11" s="508"/>
      <c r="N11" s="508"/>
    </row>
    <row r="12" spans="1:15" x14ac:dyDescent="0.25">
      <c r="B12" s="538"/>
      <c r="C12" s="508"/>
      <c r="D12" s="508"/>
      <c r="E12" s="508"/>
      <c r="F12" s="508"/>
      <c r="G12" s="509"/>
      <c r="I12" s="508"/>
      <c r="J12" s="508"/>
      <c r="K12" s="508"/>
      <c r="L12" s="508"/>
      <c r="M12" s="508"/>
      <c r="N12" s="508"/>
    </row>
    <row r="13" spans="1:15" ht="14.45" customHeight="1" x14ac:dyDescent="0.25">
      <c r="B13" s="485" t="s">
        <v>26</v>
      </c>
      <c r="C13" s="485"/>
      <c r="D13" s="486"/>
      <c r="E13" s="479">
        <f>'Equipamiento y listas'!K22</f>
        <v>45407</v>
      </c>
      <c r="F13" s="480"/>
      <c r="G13" s="480"/>
      <c r="I13" s="485" t="s">
        <v>118</v>
      </c>
      <c r="J13" s="485"/>
      <c r="K13" s="486"/>
      <c r="L13" s="491"/>
      <c r="M13" s="492"/>
      <c r="N13" s="492"/>
    </row>
    <row r="14" spans="1:15" x14ac:dyDescent="0.25">
      <c r="B14" s="487"/>
      <c r="C14" s="487"/>
      <c r="D14" s="488"/>
      <c r="E14" s="481"/>
      <c r="F14" s="482"/>
      <c r="G14" s="482"/>
      <c r="I14" s="487"/>
      <c r="J14" s="487"/>
      <c r="K14" s="488"/>
      <c r="L14" s="493"/>
      <c r="M14" s="494"/>
      <c r="N14" s="494"/>
    </row>
    <row r="15" spans="1:15" x14ac:dyDescent="0.25">
      <c r="B15" s="489"/>
      <c r="C15" s="489"/>
      <c r="D15" s="490"/>
      <c r="E15" s="483"/>
      <c r="F15" s="484"/>
      <c r="G15" s="484"/>
      <c r="I15" s="489"/>
      <c r="J15" s="489"/>
      <c r="K15" s="490"/>
      <c r="L15" s="495"/>
      <c r="M15" s="496"/>
      <c r="N15" s="496"/>
    </row>
    <row r="16" spans="1:15" ht="14.45" customHeight="1" x14ac:dyDescent="0.25">
      <c r="B16" s="524" t="s">
        <v>197</v>
      </c>
      <c r="C16" s="497" t="s">
        <v>198</v>
      </c>
      <c r="D16" s="497" t="s">
        <v>199</v>
      </c>
      <c r="E16" s="497" t="s">
        <v>200</v>
      </c>
      <c r="F16" s="518" t="s">
        <v>58</v>
      </c>
      <c r="G16" s="522" t="s">
        <v>201</v>
      </c>
      <c r="I16" s="524" t="s">
        <v>197</v>
      </c>
      <c r="J16" s="497" t="s">
        <v>198</v>
      </c>
      <c r="K16" s="497" t="s">
        <v>199</v>
      </c>
      <c r="L16" s="497" t="s">
        <v>200</v>
      </c>
      <c r="M16" s="497" t="s">
        <v>58</v>
      </c>
      <c r="N16" s="497" t="s">
        <v>201</v>
      </c>
    </row>
    <row r="17" spans="1:14" x14ac:dyDescent="0.25">
      <c r="B17" s="525"/>
      <c r="C17" s="498"/>
      <c r="D17" s="498"/>
      <c r="E17" s="498"/>
      <c r="F17" s="498"/>
      <c r="G17" s="500"/>
      <c r="I17" s="525"/>
      <c r="J17" s="498"/>
      <c r="K17" s="498"/>
      <c r="L17" s="498"/>
      <c r="M17" s="498"/>
      <c r="N17" s="498"/>
    </row>
    <row r="18" spans="1:14" x14ac:dyDescent="0.25">
      <c r="B18" s="525"/>
      <c r="C18" s="498"/>
      <c r="D18" s="498"/>
      <c r="E18" s="498"/>
      <c r="F18" s="498"/>
      <c r="G18" s="500"/>
      <c r="I18" s="525"/>
      <c r="J18" s="498"/>
      <c r="K18" s="498"/>
      <c r="L18" s="498"/>
      <c r="M18" s="498"/>
      <c r="N18" s="498"/>
    </row>
    <row r="19" spans="1:14" ht="14.45" customHeight="1" x14ac:dyDescent="0.25">
      <c r="A19" s="6"/>
      <c r="B19" s="108">
        <v>-10</v>
      </c>
      <c r="C19" s="108">
        <v>-10</v>
      </c>
      <c r="D19" s="17">
        <v>2.0000000000000001E-4</v>
      </c>
      <c r="E19" s="108">
        <v>1.9E-3</v>
      </c>
      <c r="F19" s="108">
        <v>1.98</v>
      </c>
      <c r="G19" s="18">
        <f>IF(C19&lt;&gt;0,$F$32+$F$33*C19+$F$34*C19*C19+$F$35*C19*C19*C19)</f>
        <v>1.409524202469716E-4</v>
      </c>
      <c r="H19" s="7"/>
      <c r="I19" s="17">
        <v>-10</v>
      </c>
      <c r="J19" s="17">
        <v>-9.9990000000000006</v>
      </c>
      <c r="K19" s="17">
        <v>-1E-3</v>
      </c>
      <c r="L19" s="17">
        <v>9.2000000000000003E-4</v>
      </c>
      <c r="M19" s="17">
        <v>2</v>
      </c>
      <c r="N19" s="18">
        <f>IF(J19&lt;&gt;0,$F$32+$F$33*J19+$F$34*J19*J19+$F$35*J19*J19*J19)</f>
        <v>1.4100164331770401E-4</v>
      </c>
    </row>
    <row r="20" spans="1:14" x14ac:dyDescent="0.25">
      <c r="B20" s="109">
        <v>-8</v>
      </c>
      <c r="C20" s="109">
        <v>-8</v>
      </c>
      <c r="D20" s="17">
        <v>2.0000000000000001E-4</v>
      </c>
      <c r="E20" s="108">
        <v>1.9E-3</v>
      </c>
      <c r="F20" s="108">
        <v>1.98</v>
      </c>
      <c r="G20" s="18">
        <f t="shared" ref="G20:G31" si="0">IF(C20&lt;&gt;0,$F$32+$F$33*C20+$F$34*C20*C20+$F$35*C20*C20*C20)</f>
        <v>2.3187787542048303E-4</v>
      </c>
      <c r="H20" s="7"/>
      <c r="I20" s="17">
        <v>-5</v>
      </c>
      <c r="J20" s="17">
        <v>-5</v>
      </c>
      <c r="K20" s="17">
        <v>0</v>
      </c>
      <c r="L20" s="17">
        <v>6.6E-4</v>
      </c>
      <c r="M20" s="17">
        <v>2</v>
      </c>
      <c r="N20" s="18">
        <f t="shared" ref="N20:N31" si="1">IF(J20&lt;&gt;0,$F$32+$F$33*J20+$F$34*J20*J20+$F$35*J20*J20*J20)</f>
        <v>3.365085563963981E-4</v>
      </c>
    </row>
    <row r="21" spans="1:14" x14ac:dyDescent="0.25">
      <c r="B21" s="109">
        <v>-5</v>
      </c>
      <c r="C21" s="109">
        <v>-5</v>
      </c>
      <c r="D21" s="17">
        <v>2.9999999999999997E-4</v>
      </c>
      <c r="E21" s="108">
        <v>1.9E-3</v>
      </c>
      <c r="F21" s="108">
        <v>1.98</v>
      </c>
      <c r="G21" s="18">
        <f t="shared" si="0"/>
        <v>3.365085563963981E-4</v>
      </c>
      <c r="H21" s="7"/>
      <c r="I21" s="17">
        <v>0</v>
      </c>
      <c r="J21" s="17">
        <v>1E-3</v>
      </c>
      <c r="K21" s="17">
        <v>-1E-3</v>
      </c>
      <c r="L21" s="17">
        <v>7.7999999999999999E-4</v>
      </c>
      <c r="M21" s="17">
        <v>2</v>
      </c>
      <c r="N21" s="18">
        <f t="shared" si="1"/>
        <v>4.0731752615649243E-4</v>
      </c>
    </row>
    <row r="22" spans="1:14" x14ac:dyDescent="0.25">
      <c r="B22" s="109">
        <v>-2</v>
      </c>
      <c r="C22" s="109">
        <v>-2</v>
      </c>
      <c r="D22" s="17">
        <v>2.9999999999999997E-4</v>
      </c>
      <c r="E22" s="108">
        <v>1.9E-3</v>
      </c>
      <c r="F22" s="108">
        <v>1.98</v>
      </c>
      <c r="G22" s="18">
        <f t="shared" si="0"/>
        <v>3.9623050117115039E-4</v>
      </c>
      <c r="H22" s="7"/>
      <c r="I22" s="17">
        <v>1.5</v>
      </c>
      <c r="J22" s="17">
        <v>1.4990000000000001</v>
      </c>
      <c r="K22" s="17">
        <v>1E-3</v>
      </c>
      <c r="L22" s="17">
        <v>9.7999999999999997E-4</v>
      </c>
      <c r="M22" s="17">
        <v>2</v>
      </c>
      <c r="N22" s="18">
        <f t="shared" si="1"/>
        <v>3.9895154583932218E-4</v>
      </c>
    </row>
    <row r="23" spans="1:14" x14ac:dyDescent="0.25">
      <c r="B23" s="109">
        <v>0</v>
      </c>
      <c r="C23" s="109">
        <v>0</v>
      </c>
      <c r="D23" s="17">
        <v>4.0000000000000002E-4</v>
      </c>
      <c r="E23" s="108">
        <v>1.9E-3</v>
      </c>
      <c r="F23" s="108">
        <v>1.98</v>
      </c>
      <c r="G23" s="18" t="b">
        <f t="shared" si="0"/>
        <v>0</v>
      </c>
      <c r="H23" s="7"/>
      <c r="I23" s="17">
        <v>3</v>
      </c>
      <c r="J23" s="17">
        <v>3</v>
      </c>
      <c r="K23" s="17">
        <v>0</v>
      </c>
      <c r="L23" s="17">
        <v>1.5E-3</v>
      </c>
      <c r="M23" s="17">
        <v>2</v>
      </c>
      <c r="N23" s="18">
        <f t="shared" si="1"/>
        <v>3.7519291905444729E-4</v>
      </c>
    </row>
    <row r="24" spans="1:14" x14ac:dyDescent="0.25">
      <c r="B24" s="109">
        <v>2</v>
      </c>
      <c r="C24" s="109">
        <v>2</v>
      </c>
      <c r="D24" s="17">
        <v>4.0000000000000002E-4</v>
      </c>
      <c r="E24" s="108">
        <v>1.9E-3</v>
      </c>
      <c r="F24" s="108">
        <v>1.98</v>
      </c>
      <c r="G24" s="18">
        <f t="shared" si="0"/>
        <v>3.92780021663572E-4</v>
      </c>
      <c r="H24" s="7"/>
      <c r="I24" s="17">
        <v>4.5</v>
      </c>
      <c r="J24" s="17">
        <v>4.5010000000000003</v>
      </c>
      <c r="K24" s="17">
        <v>-1E-3</v>
      </c>
      <c r="L24" s="17">
        <v>1.9E-3</v>
      </c>
      <c r="M24" s="17">
        <v>2</v>
      </c>
      <c r="N24" s="18">
        <f t="shared" si="1"/>
        <v>3.3508553110509517E-4</v>
      </c>
    </row>
    <row r="25" spans="1:14" x14ac:dyDescent="0.25">
      <c r="B25" s="109">
        <v>5</v>
      </c>
      <c r="C25" s="109">
        <v>5</v>
      </c>
      <c r="D25" s="17">
        <v>5.0000000000000001E-4</v>
      </c>
      <c r="E25" s="108">
        <v>1.9E-3</v>
      </c>
      <c r="F25" s="108">
        <v>1.98</v>
      </c>
      <c r="G25" s="18">
        <f t="shared" si="0"/>
        <v>3.1796607879003915E-4</v>
      </c>
      <c r="H25" s="7"/>
      <c r="I25" s="17">
        <v>6</v>
      </c>
      <c r="J25" s="17">
        <v>6.0019999999999998</v>
      </c>
      <c r="K25" s="17">
        <v>-2E-3</v>
      </c>
      <c r="L25" s="17">
        <v>1.9E-3</v>
      </c>
      <c r="M25" s="17">
        <v>2</v>
      </c>
      <c r="N25" s="18">
        <f t="shared" si="1"/>
        <v>2.7767125568864908E-4</v>
      </c>
    </row>
    <row r="26" spans="1:14" x14ac:dyDescent="0.25">
      <c r="B26" s="109">
        <v>8</v>
      </c>
      <c r="C26" s="109">
        <v>8</v>
      </c>
      <c r="D26" s="17">
        <v>5.0000000000000001E-4</v>
      </c>
      <c r="E26" s="108">
        <v>1.9E-3</v>
      </c>
      <c r="F26" s="108">
        <v>1.98</v>
      </c>
      <c r="G26" s="18">
        <f t="shared" si="0"/>
        <v>1.7274439699056733E-4</v>
      </c>
      <c r="I26" s="17">
        <v>7.5</v>
      </c>
      <c r="J26" s="17">
        <v>7.5019999999999998</v>
      </c>
      <c r="K26" s="17">
        <v>-2E-3</v>
      </c>
      <c r="L26" s="17">
        <v>2E-3</v>
      </c>
      <c r="M26" s="17">
        <v>2</v>
      </c>
      <c r="N26" s="18">
        <f t="shared" si="1"/>
        <v>2.0204867853988812E-4</v>
      </c>
    </row>
    <row r="27" spans="1:14" x14ac:dyDescent="0.25">
      <c r="B27" s="109">
        <v>10</v>
      </c>
      <c r="C27" s="109">
        <v>10</v>
      </c>
      <c r="D27" s="20">
        <v>-4.0000000000000002E-4</v>
      </c>
      <c r="E27" s="108">
        <v>1.9E-3</v>
      </c>
      <c r="F27" s="108">
        <v>1.98</v>
      </c>
      <c r="G27" s="18">
        <f t="shared" si="0"/>
        <v>3.3036901909875546E-5</v>
      </c>
      <c r="I27" s="20">
        <v>9</v>
      </c>
      <c r="J27" s="20">
        <v>9.0039999999999996</v>
      </c>
      <c r="K27" s="20">
        <v>-4.0000000000000001E-3</v>
      </c>
      <c r="L27" s="20">
        <v>1.9E-3</v>
      </c>
      <c r="M27" s="17">
        <v>2</v>
      </c>
      <c r="N27" s="18">
        <f t="shared" si="1"/>
        <v>1.0708953724400681E-4</v>
      </c>
    </row>
    <row r="28" spans="1:14" x14ac:dyDescent="0.25">
      <c r="B28" s="109">
        <v>13</v>
      </c>
      <c r="C28" s="109">
        <v>13</v>
      </c>
      <c r="D28" s="20">
        <v>-4.0000000000000002E-4</v>
      </c>
      <c r="E28" s="108">
        <v>1.9E-3</v>
      </c>
      <c r="F28" s="108">
        <v>1.98</v>
      </c>
      <c r="G28" s="18">
        <f t="shared" si="0"/>
        <v>-2.4653034658267837E-4</v>
      </c>
      <c r="I28" s="20">
        <v>10.5</v>
      </c>
      <c r="J28" s="20">
        <v>10.505000000000001</v>
      </c>
      <c r="K28" s="20">
        <v>-5.0000000000000001E-3</v>
      </c>
      <c r="L28" s="20">
        <v>9.7999999999999997E-4</v>
      </c>
      <c r="M28" s="17">
        <v>2</v>
      </c>
      <c r="N28" s="18">
        <f t="shared" si="1"/>
        <v>-7.9941583894232117E-6</v>
      </c>
    </row>
    <row r="29" spans="1:14" x14ac:dyDescent="0.25">
      <c r="B29" s="109">
        <v>15</v>
      </c>
      <c r="C29" s="109">
        <v>15</v>
      </c>
      <c r="D29" s="20">
        <v>-2.9999999999999997E-4</v>
      </c>
      <c r="E29" s="108">
        <v>1.9E-3</v>
      </c>
      <c r="F29" s="108">
        <v>1.98</v>
      </c>
      <c r="G29" s="18">
        <f t="shared" si="0"/>
        <v>-4.8288460910452956E-4</v>
      </c>
      <c r="I29" s="20">
        <v>12</v>
      </c>
      <c r="J29" s="20">
        <v>12.006</v>
      </c>
      <c r="K29" s="20">
        <v>-6.0000000000000001E-3</v>
      </c>
      <c r="L29" s="20">
        <v>1.4E-3</v>
      </c>
      <c r="M29" s="17">
        <v>2</v>
      </c>
      <c r="N29" s="18">
        <f t="shared" si="1"/>
        <v>-1.442172467004149E-4</v>
      </c>
    </row>
    <row r="30" spans="1:14" x14ac:dyDescent="0.25">
      <c r="B30" s="20"/>
      <c r="C30" s="20"/>
      <c r="D30" s="20"/>
      <c r="E30" s="20"/>
      <c r="F30" s="17"/>
      <c r="G30" s="18" t="b">
        <f t="shared" si="0"/>
        <v>0</v>
      </c>
      <c r="I30" s="20">
        <v>13.5</v>
      </c>
      <c r="J30" s="20">
        <v>13.506</v>
      </c>
      <c r="K30" s="20">
        <v>-6.0000000000000001E-3</v>
      </c>
      <c r="L30" s="20">
        <v>1.1000000000000001E-3</v>
      </c>
      <c r="M30" s="17">
        <v>2</v>
      </c>
      <c r="N30" s="18">
        <f t="shared" si="1"/>
        <v>-3.0242480864702079E-4</v>
      </c>
    </row>
    <row r="31" spans="1:14" x14ac:dyDescent="0.25">
      <c r="B31" s="20"/>
      <c r="C31" s="20"/>
      <c r="D31" s="20"/>
      <c r="E31" s="20"/>
      <c r="F31" s="17"/>
      <c r="G31" s="18" t="b">
        <f t="shared" si="0"/>
        <v>0</v>
      </c>
      <c r="I31" s="20">
        <v>15</v>
      </c>
      <c r="J31" s="20">
        <v>15.005000000000001</v>
      </c>
      <c r="K31" s="20">
        <v>-5.0000000000000001E-3</v>
      </c>
      <c r="L31" s="20">
        <v>8.8000000000000003E-4</v>
      </c>
      <c r="M31" s="17">
        <v>2</v>
      </c>
      <c r="N31" s="18">
        <f t="shared" si="1"/>
        <v>-4.8352796508617567E-4</v>
      </c>
    </row>
    <row r="32" spans="1:14" ht="17.100000000000001" customHeight="1" x14ac:dyDescent="0.25">
      <c r="B32" s="502" t="s">
        <v>62</v>
      </c>
      <c r="C32" s="515"/>
      <c r="D32" s="526" t="s">
        <v>63</v>
      </c>
      <c r="E32" s="527"/>
      <c r="F32" s="16">
        <f>INDEX(LINEST(D19:D29,C19:C29^{1,2,3}),4)</f>
        <v>4.0731820309815027E-4</v>
      </c>
      <c r="G32" s="1" t="s">
        <v>196</v>
      </c>
      <c r="I32" s="502" t="s">
        <v>62</v>
      </c>
      <c r="J32" s="515"/>
      <c r="K32" s="526" t="s">
        <v>63</v>
      </c>
      <c r="L32" s="527"/>
      <c r="M32" s="16">
        <f>INDEX(LINEST(K19:K31,J19:J31^{1,2,3}),4)</f>
        <v>3.2276645615801928E-4</v>
      </c>
      <c r="N32" s="1" t="s">
        <v>196</v>
      </c>
    </row>
    <row r="33" spans="2:14" ht="17.100000000000001" customHeight="1" x14ac:dyDescent="0.25">
      <c r="B33" s="502"/>
      <c r="C33" s="515"/>
      <c r="D33" s="526" t="s">
        <v>64</v>
      </c>
      <c r="E33" s="527"/>
      <c r="F33" s="16">
        <f>INDEX(LINEST(D19:D29,C19:C29^{1,2,3}),3)</f>
        <v>-6.7373837522959271E-7</v>
      </c>
      <c r="G33" s="1">
        <v>1</v>
      </c>
      <c r="I33" s="502"/>
      <c r="J33" s="515"/>
      <c r="K33" s="526" t="s">
        <v>64</v>
      </c>
      <c r="L33" s="527"/>
      <c r="M33" s="16">
        <f>INDEX(LINEST(K19:K31,J19:J31^{1,2,3}),3)</f>
        <v>-2.6542578495460979E-4</v>
      </c>
      <c r="N33" s="1">
        <v>1</v>
      </c>
    </row>
    <row r="34" spans="2:14" ht="17.100000000000001" customHeight="1" x14ac:dyDescent="0.25">
      <c r="B34" s="503"/>
      <c r="C34" s="516"/>
      <c r="D34" s="526" t="s">
        <v>65</v>
      </c>
      <c r="E34" s="527"/>
      <c r="F34" s="16">
        <f>INDEX(LINEST(D19:D29,C19:C29^{1,2,3}),2)</f>
        <v>-3.203235420197267E-6</v>
      </c>
      <c r="G34" s="1" t="s">
        <v>202</v>
      </c>
      <c r="I34" s="503"/>
      <c r="J34" s="516"/>
      <c r="K34" s="526" t="s">
        <v>65</v>
      </c>
      <c r="L34" s="527"/>
      <c r="M34" s="16">
        <f>INDEX(LINEST(K19:K31,J19:J31^{1,2,3}),2)</f>
        <v>-3.0353404823843202E-5</v>
      </c>
      <c r="N34" s="1" t="s">
        <v>202</v>
      </c>
    </row>
    <row r="35" spans="2:14" ht="17.100000000000001" customHeight="1" x14ac:dyDescent="0.25">
      <c r="B35" s="503"/>
      <c r="C35" s="516"/>
      <c r="D35" s="526" t="s">
        <v>193</v>
      </c>
      <c r="E35" s="527"/>
      <c r="F35" s="16">
        <f>INDEX(LINEST(D19:D29,C19:C29^{1,2,3}),1)</f>
        <v>-4.7220375416252087E-8</v>
      </c>
      <c r="G35" s="1" t="s">
        <v>203</v>
      </c>
      <c r="I35" s="503"/>
      <c r="J35" s="516"/>
      <c r="K35" s="526" t="s">
        <v>193</v>
      </c>
      <c r="L35" s="527"/>
      <c r="M35" s="16">
        <f>INDEX(LINEST(K19:K31,J19:J31^{1,2,3}),1)</f>
        <v>1.3011768294031363E-6</v>
      </c>
      <c r="N35" s="1" t="s">
        <v>203</v>
      </c>
    </row>
    <row r="36" spans="2:14" ht="17.100000000000001" customHeight="1" x14ac:dyDescent="0.25">
      <c r="B36" s="503"/>
      <c r="C36" s="516"/>
      <c r="D36" s="528" t="s">
        <v>71</v>
      </c>
      <c r="E36" s="529"/>
      <c r="F36" s="5">
        <f>RSQ(D19:D31,C19:C31)</f>
        <v>0.31024922562377655</v>
      </c>
      <c r="G36" s="1" t="s">
        <v>72</v>
      </c>
      <c r="I36" s="503"/>
      <c r="J36" s="516"/>
      <c r="K36" s="528" t="s">
        <v>71</v>
      </c>
      <c r="L36" s="529"/>
      <c r="M36" s="5">
        <f>RSQ(K19:K31,J19:J31)</f>
        <v>0.63595679254238224</v>
      </c>
      <c r="N36" s="1" t="s">
        <v>72</v>
      </c>
    </row>
    <row r="37" spans="2:14" ht="17.100000000000001" customHeight="1" x14ac:dyDescent="0.25">
      <c r="B37" s="517"/>
      <c r="C37" s="518"/>
      <c r="D37" s="530" t="s">
        <v>81</v>
      </c>
      <c r="E37" s="531"/>
      <c r="F37" s="5">
        <f t="array" ref="F37">SQRT(SUMSQ(D19:D31-G19:G31)/(COUNT(D19:D31)-COUNT(F32:F35)))</f>
        <v>2.8281780584078878E-4</v>
      </c>
      <c r="G37" s="1" t="s">
        <v>196</v>
      </c>
      <c r="I37" s="517"/>
      <c r="J37" s="518"/>
      <c r="K37" s="530" t="s">
        <v>81</v>
      </c>
      <c r="L37" s="531"/>
      <c r="M37" s="5">
        <f t="array" ref="M37">SQRT(SUMSQ(K19:K31-N19:N31)/(COUNT(K19:K31)-4))</f>
        <v>4.0091053809840306E-3</v>
      </c>
      <c r="N37" s="1" t="s">
        <v>196</v>
      </c>
    </row>
    <row r="39" spans="2:14" ht="14.45" customHeight="1" x14ac:dyDescent="0.25">
      <c r="B39" s="501" t="s">
        <v>78</v>
      </c>
      <c r="C39" s="540" t="s">
        <v>79</v>
      </c>
      <c r="D39" s="540"/>
      <c r="E39" s="540"/>
      <c r="F39" s="540"/>
      <c r="G39" s="541"/>
      <c r="I39" s="501" t="s">
        <v>266</v>
      </c>
      <c r="J39" s="540"/>
      <c r="K39" s="540"/>
      <c r="L39" s="540"/>
      <c r="M39" s="540"/>
      <c r="N39" s="541"/>
    </row>
    <row r="40" spans="2:14" x14ac:dyDescent="0.25">
      <c r="B40" s="502"/>
      <c r="C40" s="515"/>
      <c r="D40" s="515"/>
      <c r="E40" s="515"/>
      <c r="F40" s="515"/>
      <c r="G40" s="535"/>
      <c r="I40" s="502"/>
      <c r="J40" s="515"/>
      <c r="K40" s="515"/>
      <c r="L40" s="515"/>
      <c r="M40" s="515"/>
      <c r="N40" s="535"/>
    </row>
    <row r="41" spans="2:14" x14ac:dyDescent="0.25">
      <c r="B41" s="502"/>
      <c r="C41" s="515"/>
      <c r="D41" s="515"/>
      <c r="E41" s="515"/>
      <c r="F41" s="515"/>
      <c r="G41" s="535"/>
      <c r="I41" s="502"/>
      <c r="J41" s="515"/>
      <c r="K41" s="515"/>
      <c r="L41" s="515"/>
      <c r="M41" s="515"/>
      <c r="N41" s="535"/>
    </row>
    <row r="42" spans="2:14" x14ac:dyDescent="0.25">
      <c r="B42" s="502"/>
      <c r="C42" s="515" t="s">
        <v>198</v>
      </c>
      <c r="D42" s="515" t="s">
        <v>199</v>
      </c>
      <c r="E42" s="515" t="s">
        <v>261</v>
      </c>
      <c r="F42" s="515" t="s">
        <v>200</v>
      </c>
      <c r="G42" s="535" t="s">
        <v>58</v>
      </c>
      <c r="I42" s="556" t="s">
        <v>123</v>
      </c>
      <c r="J42" s="557"/>
      <c r="K42" s="559" t="s">
        <v>122</v>
      </c>
      <c r="L42" s="557"/>
      <c r="M42" s="559" t="s">
        <v>124</v>
      </c>
      <c r="N42" s="561"/>
    </row>
    <row r="43" spans="2:14" x14ac:dyDescent="0.25">
      <c r="B43" s="502"/>
      <c r="C43" s="515"/>
      <c r="D43" s="515"/>
      <c r="E43" s="515"/>
      <c r="F43" s="515"/>
      <c r="G43" s="535"/>
      <c r="I43" s="556"/>
      <c r="J43" s="557"/>
      <c r="K43" s="559"/>
      <c r="L43" s="557"/>
      <c r="M43" s="559"/>
      <c r="N43" s="561"/>
    </row>
    <row r="44" spans="2:14" x14ac:dyDescent="0.25">
      <c r="B44" s="503"/>
      <c r="C44" s="518"/>
      <c r="D44" s="518"/>
      <c r="E44" s="518"/>
      <c r="F44" s="518"/>
      <c r="G44" s="522"/>
      <c r="I44" s="556"/>
      <c r="J44" s="558"/>
      <c r="K44" s="560"/>
      <c r="L44" s="558"/>
      <c r="M44" s="560"/>
      <c r="N44" s="562"/>
    </row>
    <row r="45" spans="2:14" ht="14.45" customHeight="1" x14ac:dyDescent="0.25">
      <c r="B45" s="542" t="s">
        <v>259</v>
      </c>
      <c r="C45" s="1" t="b">
        <f>IF(NOT(ISBLANK('Toma de datos'!B47)),'Toma de datos'!B47*LOOKUP('Información general'!$L$53,'Equipamiento y listas'!$J$36:$J$48,'Equipamiento y listas'!$L$36:$L$48)*LOOKUP("psi",'Equipamiento y listas'!$K$47:$K$61,'Equipamiento y listas'!$L$47:$L$61))</f>
        <v>0</v>
      </c>
      <c r="D45" s="5">
        <f>$F$32+$F$33*C45+$F$34*C45*C45+$F$35*C45*C45*C45</f>
        <v>4.0731820309815027E-4</v>
      </c>
      <c r="E45" s="5">
        <f>IFERROR(ABS(D45-($M$32+$M$33*C45+$M$34*C45*C45+$M$35*C45*C45*C45)),'Equipamiento y listas'!$I$22)</f>
        <v>8.4551746940130987E-5</v>
      </c>
      <c r="F45" s="1">
        <f>IF(AND($C$19&lt;=C45,C45&lt;=$C$20),MAX($E$19:$E$20),IF(AND($C$20&lt;=C45,C45&lt;=$C$21),MAX($E$20:$E$21),IF(AND($C$21&lt;=C45,C45&lt;=$C$22),MAX($E$21:$E$22),IF(AND($C$22&lt;=C45,C45&lt;=$C$23),MAX($E$22:$E$23),IF(AND($C$23&lt;=C45,C45&lt;=$C$24),MAX($E$23:$E$24),IF(AND($C$24&lt;=C45,C45&lt;=$C$25),MAX($E$24:$E$25),IF(AND($C$25&lt;=C45,C45&lt;=$C$26),MAX($E$25:$E$26),IF(AND($C$26&lt;=C45,C45&lt;=$C$27),MAX($E$26:$E$27),IF(AND($C$27&lt;=C45,C45&lt;=$C$28),MAX($E$27:$E$28),IF(AND($C$28&lt;=C45,C45&lt;=$C$29),MAX($E$28:$E$29),IF(AND($C$29&lt;=C45,C45&lt;=$C$30),MAX($E$29:$E$30),IF(AND($C$30&lt;=C45,C45&lt;=$C$31),MAX($E$30:$E$31)))))))))))))</f>
        <v>1.9E-3</v>
      </c>
      <c r="G45" s="1">
        <f>VLOOKUP(F45,$E$19:$F$31,2)</f>
        <v>1.98</v>
      </c>
      <c r="I45" s="555" t="s">
        <v>259</v>
      </c>
      <c r="J45" s="546"/>
      <c r="K45" s="547"/>
      <c r="L45" s="547"/>
      <c r="M45" s="547"/>
      <c r="N45" s="548"/>
    </row>
    <row r="46" spans="2:14" x14ac:dyDescent="0.25">
      <c r="B46" s="543"/>
      <c r="C46" s="1" t="b">
        <f>IF(NOT(ISBLANK('Toma de datos'!B48)),'Toma de datos'!B48*LOOKUP('Información general'!$L$53,'Equipamiento y listas'!$J$36:$J$48,'Equipamiento y listas'!$L$36:$L$48)*LOOKUP("psi",'Equipamiento y listas'!$K$47:$K$61,'Equipamiento y listas'!$L$47:$L$61))</f>
        <v>0</v>
      </c>
      <c r="D46" s="5">
        <f t="shared" ref="D46:D104" si="2">$F$32+$F$33*C46+$F$34*C46*C46+$F$35*C46*C46*C46</f>
        <v>4.0731820309815027E-4</v>
      </c>
      <c r="E46" s="5">
        <f>IFERROR(ABS(D46-($M$32+$M$33*C46+$M$34*C46*C46+$M$35*C46*C46*C46)),'Equipamiento y listas'!$I$22)</f>
        <v>8.4551746940130987E-5</v>
      </c>
      <c r="F46" s="1">
        <f t="shared" ref="F46:F104" si="3">IF(AND($C$19&lt;=C46,C46&lt;=$C$20),MAX($E$19:$E$20),IF(AND($C$20&lt;=C46,C46&lt;=$C$21),MAX($E$20:$E$21),IF(AND($C$21&lt;=C46,C46&lt;=$C$22),MAX($E$21:$E$22),IF(AND($C$22&lt;=C46,C46&lt;=$C$23),MAX($E$22:$E$23),IF(AND($C$23&lt;=C46,C46&lt;=$C$24),MAX($E$23:$E$24),IF(AND($C$24&lt;=C46,C46&lt;=$C$25),MAX($E$24:$E$25),IF(AND($C$25&lt;=C46,C46&lt;=$C$26),MAX($E$25:$E$26),IF(AND($C$26&lt;=C46,C46&lt;=$C$27),MAX($E$26:$E$27),IF(AND($C$27&lt;=C46,C46&lt;=$C$28),MAX($E$27:$E$28),IF(AND($C$28&lt;=C46,C46&lt;=$C$29),MAX($E$28:$E$29),IF(AND($C$29&lt;=C46,C46&lt;=$C$30),MAX($E$29:$E$30),IF(AND($C$30&lt;=C46,C46&lt;=$C$31),MAX($E$30:$E$31)))))))))))))</f>
        <v>1.9E-3</v>
      </c>
      <c r="G46" s="1">
        <f t="shared" ref="G46:G104" si="4">VLOOKUP(F46,$E$19:$F$31,2)</f>
        <v>1.98</v>
      </c>
      <c r="I46" s="555"/>
      <c r="J46" s="549"/>
      <c r="K46" s="550"/>
      <c r="L46" s="550"/>
      <c r="M46" s="550"/>
      <c r="N46" s="551"/>
    </row>
    <row r="47" spans="2:14" x14ac:dyDescent="0.25">
      <c r="B47" s="543"/>
      <c r="C47" s="1" t="b">
        <f>IF(NOT(ISBLANK('Toma de datos'!B49)),'Toma de datos'!B49*LOOKUP('Información general'!$L$53,'Equipamiento y listas'!$J$36:$J$48,'Equipamiento y listas'!$L$36:$L$48)*LOOKUP("psi",'Equipamiento y listas'!$K$47:$K$61,'Equipamiento y listas'!$L$47:$L$61))</f>
        <v>0</v>
      </c>
      <c r="D47" s="5">
        <f t="shared" si="2"/>
        <v>4.0731820309815027E-4</v>
      </c>
      <c r="E47" s="5">
        <f>IFERROR(ABS(D47-($M$32+$M$33*C47+$M$34*C47*C47+$M$35*C47*C47*C47)),'Equipamiento y listas'!$I$22)</f>
        <v>8.4551746940130987E-5</v>
      </c>
      <c r="F47" s="1">
        <f t="shared" si="3"/>
        <v>1.9E-3</v>
      </c>
      <c r="G47" s="1">
        <f t="shared" si="4"/>
        <v>1.98</v>
      </c>
      <c r="I47" s="555"/>
      <c r="J47" s="549"/>
      <c r="K47" s="550"/>
      <c r="L47" s="550"/>
      <c r="M47" s="550"/>
      <c r="N47" s="551"/>
    </row>
    <row r="48" spans="2:14" x14ac:dyDescent="0.25">
      <c r="B48" s="543"/>
      <c r="C48" s="1" t="b">
        <f>IF(NOT(ISBLANK('Toma de datos'!B50)),'Toma de datos'!B50*LOOKUP('Información general'!$L$53,'Equipamiento y listas'!$J$36:$J$48,'Equipamiento y listas'!$L$36:$L$48)*LOOKUP("psi",'Equipamiento y listas'!$K$47:$K$61,'Equipamiento y listas'!$L$47:$L$61))</f>
        <v>0</v>
      </c>
      <c r="D48" s="5">
        <f t="shared" si="2"/>
        <v>4.0731820309815027E-4</v>
      </c>
      <c r="E48" s="5">
        <f>IFERROR(ABS(D48-($M$32+$M$33*C48+$M$34*C48*C48+$M$35*C48*C48*C48)),'Equipamiento y listas'!$I$22)</f>
        <v>8.4551746940130987E-5</v>
      </c>
      <c r="F48" s="1">
        <f t="shared" si="3"/>
        <v>1.9E-3</v>
      </c>
      <c r="G48" s="1">
        <f t="shared" si="4"/>
        <v>1.98</v>
      </c>
      <c r="I48" s="555"/>
      <c r="J48" s="549"/>
      <c r="K48" s="550"/>
      <c r="L48" s="550"/>
      <c r="M48" s="550"/>
      <c r="N48" s="551"/>
    </row>
    <row r="49" spans="2:14" x14ac:dyDescent="0.25">
      <c r="B49" s="543"/>
      <c r="C49" s="1" t="b">
        <f>IF(NOT(ISBLANK('Toma de datos'!B51)),'Toma de datos'!B51*LOOKUP('Información general'!$L$53,'Equipamiento y listas'!$J$36:$J$48,'Equipamiento y listas'!$L$36:$L$48)*LOOKUP("psi",'Equipamiento y listas'!$K$47:$K$61,'Equipamiento y listas'!$L$47:$L$61))</f>
        <v>0</v>
      </c>
      <c r="D49" s="5">
        <f t="shared" si="2"/>
        <v>4.0731820309815027E-4</v>
      </c>
      <c r="E49" s="5">
        <f>IFERROR(ABS(D49-($M$32+$M$33*C49+$M$34*C49*C49+$M$35*C49*C49*C49)),'Equipamiento y listas'!$I$22)</f>
        <v>8.4551746940130987E-5</v>
      </c>
      <c r="F49" s="1">
        <f t="shared" si="3"/>
        <v>1.9E-3</v>
      </c>
      <c r="G49" s="1">
        <f t="shared" si="4"/>
        <v>1.98</v>
      </c>
      <c r="I49" s="555"/>
      <c r="J49" s="549"/>
      <c r="K49" s="550"/>
      <c r="L49" s="550"/>
      <c r="M49" s="550"/>
      <c r="N49" s="551"/>
    </row>
    <row r="50" spans="2:14" x14ac:dyDescent="0.25">
      <c r="B50" s="543"/>
      <c r="C50" s="1" t="b">
        <f>IF(NOT(ISBLANK('Toma de datos'!B52)),'Toma de datos'!B52*LOOKUP('Información general'!$L$53,'Equipamiento y listas'!$J$36:$J$48,'Equipamiento y listas'!$L$36:$L$48)*LOOKUP("psi",'Equipamiento y listas'!$K$47:$K$61,'Equipamiento y listas'!$L$47:$L$61))</f>
        <v>0</v>
      </c>
      <c r="D50" s="5">
        <f t="shared" si="2"/>
        <v>4.0731820309815027E-4</v>
      </c>
      <c r="E50" s="5">
        <f>IFERROR(ABS(D50-($M$32+$M$33*C50+$M$34*C50*C50+$M$35*C50*C50*C50)),'Equipamiento y listas'!$I$22)</f>
        <v>8.4551746940130987E-5</v>
      </c>
      <c r="F50" s="1">
        <f t="shared" si="3"/>
        <v>1.9E-3</v>
      </c>
      <c r="G50" s="1">
        <f t="shared" si="4"/>
        <v>1.98</v>
      </c>
      <c r="I50" s="555"/>
      <c r="J50" s="549"/>
      <c r="K50" s="550"/>
      <c r="L50" s="550"/>
      <c r="M50" s="550"/>
      <c r="N50" s="551"/>
    </row>
    <row r="51" spans="2:14" x14ac:dyDescent="0.25">
      <c r="B51" s="543"/>
      <c r="C51" s="1" t="b">
        <f>IF(NOT(ISBLANK('Toma de datos'!B53)),'Toma de datos'!B53*LOOKUP('Información general'!$L$53,'Equipamiento y listas'!$J$36:$J$48,'Equipamiento y listas'!$L$36:$L$48)*LOOKUP("psi",'Equipamiento y listas'!$K$47:$K$61,'Equipamiento y listas'!$L$47:$L$61))</f>
        <v>0</v>
      </c>
      <c r="D51" s="5">
        <f t="shared" si="2"/>
        <v>4.0731820309815027E-4</v>
      </c>
      <c r="E51" s="5">
        <f>IFERROR(ABS(D51-($M$32+$M$33*C51+$M$34*C51*C51+$M$35*C51*C51*C51)),'Equipamiento y listas'!$I$22)</f>
        <v>8.4551746940130987E-5</v>
      </c>
      <c r="F51" s="1">
        <f t="shared" si="3"/>
        <v>1.9E-3</v>
      </c>
      <c r="G51" s="1">
        <f t="shared" si="4"/>
        <v>1.98</v>
      </c>
      <c r="I51" s="555"/>
      <c r="J51" s="549"/>
      <c r="K51" s="550"/>
      <c r="L51" s="550"/>
      <c r="M51" s="550"/>
      <c r="N51" s="551"/>
    </row>
    <row r="52" spans="2:14" x14ac:dyDescent="0.25">
      <c r="B52" s="543"/>
      <c r="C52" s="1" t="b">
        <f>IF(NOT(ISBLANK('Toma de datos'!B54)),'Toma de datos'!B54*LOOKUP('Información general'!$L$53,'Equipamiento y listas'!$J$36:$J$48,'Equipamiento y listas'!$L$36:$L$48)*LOOKUP("psi",'Equipamiento y listas'!$K$47:$K$61,'Equipamiento y listas'!$L$47:$L$61))</f>
        <v>0</v>
      </c>
      <c r="D52" s="5">
        <f t="shared" si="2"/>
        <v>4.0731820309815027E-4</v>
      </c>
      <c r="E52" s="5">
        <f>IFERROR(ABS(D52-($M$32+$M$33*C52+$M$34*C52*C52+$M$35*C52*C52*C52)),'Equipamiento y listas'!$I$22)</f>
        <v>8.4551746940130987E-5</v>
      </c>
      <c r="F52" s="1">
        <f t="shared" si="3"/>
        <v>1.9E-3</v>
      </c>
      <c r="G52" s="1">
        <f t="shared" si="4"/>
        <v>1.98</v>
      </c>
      <c r="I52" s="555"/>
      <c r="J52" s="549"/>
      <c r="K52" s="550"/>
      <c r="L52" s="550"/>
      <c r="M52" s="550"/>
      <c r="N52" s="551"/>
    </row>
    <row r="53" spans="2:14" x14ac:dyDescent="0.25">
      <c r="B53" s="543"/>
      <c r="C53" s="1" t="b">
        <f>IF(NOT(ISBLANK('Toma de datos'!B55)),'Toma de datos'!B55*LOOKUP('Información general'!$L$53,'Equipamiento y listas'!$J$36:$J$48,'Equipamiento y listas'!$L$36:$L$48)*LOOKUP("psi",'Equipamiento y listas'!$K$47:$K$61,'Equipamiento y listas'!$L$47:$L$61))</f>
        <v>0</v>
      </c>
      <c r="D53" s="5">
        <f t="shared" si="2"/>
        <v>4.0731820309815027E-4</v>
      </c>
      <c r="E53" s="5">
        <f>IFERROR(ABS(D53-($M$32+$M$33*C53+$M$34*C53*C53+$M$35*C53*C53*C53)),'Equipamiento y listas'!$I$22)</f>
        <v>8.4551746940130987E-5</v>
      </c>
      <c r="F53" s="1">
        <f t="shared" si="3"/>
        <v>1.9E-3</v>
      </c>
      <c r="G53" s="1">
        <f t="shared" si="4"/>
        <v>1.98</v>
      </c>
      <c r="I53" s="555"/>
      <c r="J53" s="549"/>
      <c r="K53" s="550"/>
      <c r="L53" s="550"/>
      <c r="M53" s="550"/>
      <c r="N53" s="551"/>
    </row>
    <row r="54" spans="2:14" ht="15.75" thickBot="1" x14ac:dyDescent="0.3">
      <c r="B54" s="544"/>
      <c r="C54" s="1" t="b">
        <f>IF(NOT(ISBLANK('Toma de datos'!B56)),'Toma de datos'!B56*LOOKUP('Información general'!$L$53,'Equipamiento y listas'!$J$36:$J$48,'Equipamiento y listas'!$L$36:$L$48)*LOOKUP("psi",'Equipamiento y listas'!$K$47:$K$61,'Equipamiento y listas'!$L$47:$L$61))</f>
        <v>0</v>
      </c>
      <c r="D54" s="28">
        <f t="shared" si="2"/>
        <v>4.0731820309815027E-4</v>
      </c>
      <c r="E54" s="28">
        <f>IFERROR(ABS(D54-($M$32+$M$33*C54+$M$34*C54*C54+$M$35*C54*C54*C54)),'Equipamiento y listas'!$I$22)</f>
        <v>8.4551746940130987E-5</v>
      </c>
      <c r="F54" s="27">
        <f t="shared" si="3"/>
        <v>1.9E-3</v>
      </c>
      <c r="G54" s="27">
        <f t="shared" si="4"/>
        <v>1.98</v>
      </c>
      <c r="I54" s="555"/>
      <c r="J54" s="552"/>
      <c r="K54" s="553"/>
      <c r="L54" s="553"/>
      <c r="M54" s="553"/>
      <c r="N54" s="554"/>
    </row>
    <row r="55" spans="2:14" ht="14.45" customHeight="1" x14ac:dyDescent="0.25">
      <c r="B55" s="542" t="s">
        <v>260</v>
      </c>
      <c r="C55" s="31" t="b">
        <f>IF(NOT(ISBLANK('Toma de datos'!D47)),'Toma de datos'!D47*LOOKUP('Información general'!$L$53,'Equipamiento y listas'!$J$36:$J$48,'Equipamiento y listas'!$L$36:$L$48)*LOOKUP("psi",'Equipamiento y listas'!$K$47:$K$61,'Equipamiento y listas'!$L$47:$L$61))</f>
        <v>0</v>
      </c>
      <c r="D55" s="32">
        <f t="shared" si="2"/>
        <v>4.0731820309815027E-4</v>
      </c>
      <c r="E55" s="32">
        <f>IFERROR(ABS(D55-($M$32+$M$33*C55+$M$34*C55*C55+$M$35*C55*C55*C55)),'Equipamiento y listas'!$I$22)</f>
        <v>8.4551746940130987E-5</v>
      </c>
      <c r="F55" s="31">
        <f t="shared" si="3"/>
        <v>1.9E-3</v>
      </c>
      <c r="G55" s="31">
        <f t="shared" si="4"/>
        <v>1.98</v>
      </c>
      <c r="I55" s="555" t="s">
        <v>260</v>
      </c>
      <c r="J55" s="546"/>
      <c r="K55" s="547"/>
      <c r="L55" s="547"/>
      <c r="M55" s="547"/>
      <c r="N55" s="548"/>
    </row>
    <row r="56" spans="2:14" x14ac:dyDescent="0.25">
      <c r="B56" s="543"/>
      <c r="C56" s="1" t="b">
        <f>IF(NOT(ISBLANK('Toma de datos'!D48)),'Toma de datos'!D48*LOOKUP('Información general'!$L$53,'Equipamiento y listas'!$J$36:$J$48,'Equipamiento y listas'!$L$36:$L$48)*LOOKUP("psi",'Equipamiento y listas'!$K$47:$K$61,'Equipamiento y listas'!$L$47:$L$61))</f>
        <v>0</v>
      </c>
      <c r="D56" s="5">
        <f t="shared" si="2"/>
        <v>4.0731820309815027E-4</v>
      </c>
      <c r="E56" s="5">
        <f>IFERROR(ABS(D56-($M$32+$M$33*C56+$M$34*C56*C56+$M$35*C56*C56*C56)),'Equipamiento y listas'!$I$22)</f>
        <v>8.4551746940130987E-5</v>
      </c>
      <c r="F56" s="1">
        <f t="shared" si="3"/>
        <v>1.9E-3</v>
      </c>
      <c r="G56" s="1">
        <f t="shared" si="4"/>
        <v>1.98</v>
      </c>
      <c r="I56" s="555"/>
      <c r="J56" s="549"/>
      <c r="K56" s="550"/>
      <c r="L56" s="550"/>
      <c r="M56" s="550"/>
      <c r="N56" s="551"/>
    </row>
    <row r="57" spans="2:14" x14ac:dyDescent="0.25">
      <c r="B57" s="543"/>
      <c r="C57" s="1" t="b">
        <f>IF(NOT(ISBLANK('Toma de datos'!D49)),'Toma de datos'!D49*LOOKUP('Información general'!$L$53,'Equipamiento y listas'!$J$36:$J$48,'Equipamiento y listas'!$L$36:$L$48)*LOOKUP("psi",'Equipamiento y listas'!$K$47:$K$61,'Equipamiento y listas'!$L$47:$L$61))</f>
        <v>0</v>
      </c>
      <c r="D57" s="5">
        <f t="shared" si="2"/>
        <v>4.0731820309815027E-4</v>
      </c>
      <c r="E57" s="5">
        <f>IFERROR(ABS(D57-($M$32+$M$33*C57+$M$34*C57*C57+$M$35*C57*C57*C57)),'Equipamiento y listas'!$I$22)</f>
        <v>8.4551746940130987E-5</v>
      </c>
      <c r="F57" s="1">
        <f t="shared" si="3"/>
        <v>1.9E-3</v>
      </c>
      <c r="G57" s="1">
        <f t="shared" si="4"/>
        <v>1.98</v>
      </c>
      <c r="I57" s="555"/>
      <c r="J57" s="549"/>
      <c r="K57" s="550"/>
      <c r="L57" s="550"/>
      <c r="M57" s="550"/>
      <c r="N57" s="551"/>
    </row>
    <row r="58" spans="2:14" x14ac:dyDescent="0.25">
      <c r="B58" s="543"/>
      <c r="C58" s="1" t="b">
        <f>IF(NOT(ISBLANK('Toma de datos'!D50)),'Toma de datos'!D50*LOOKUP('Información general'!$L$53,'Equipamiento y listas'!$J$36:$J$48,'Equipamiento y listas'!$L$36:$L$48)*LOOKUP("psi",'Equipamiento y listas'!$K$47:$K$61,'Equipamiento y listas'!$L$47:$L$61))</f>
        <v>0</v>
      </c>
      <c r="D58" s="5">
        <f t="shared" si="2"/>
        <v>4.0731820309815027E-4</v>
      </c>
      <c r="E58" s="5">
        <f>IFERROR(ABS(D58-($M$32+$M$33*C58+$M$34*C58*C58+$M$35*C58*C58*C58)),'Equipamiento y listas'!$I$22)</f>
        <v>8.4551746940130987E-5</v>
      </c>
      <c r="F58" s="1">
        <f t="shared" si="3"/>
        <v>1.9E-3</v>
      </c>
      <c r="G58" s="1">
        <f t="shared" si="4"/>
        <v>1.98</v>
      </c>
      <c r="I58" s="555"/>
      <c r="J58" s="549"/>
      <c r="K58" s="550"/>
      <c r="L58" s="550"/>
      <c r="M58" s="550"/>
      <c r="N58" s="551"/>
    </row>
    <row r="59" spans="2:14" x14ac:dyDescent="0.25">
      <c r="B59" s="543"/>
      <c r="C59" s="1" t="b">
        <f>IF(NOT(ISBLANK('Toma de datos'!D51)),'Toma de datos'!D51*LOOKUP('Información general'!$L$53,'Equipamiento y listas'!$J$36:$J$48,'Equipamiento y listas'!$L$36:$L$48)*LOOKUP("psi",'Equipamiento y listas'!$K$47:$K$61,'Equipamiento y listas'!$L$47:$L$61))</f>
        <v>0</v>
      </c>
      <c r="D59" s="5">
        <f t="shared" si="2"/>
        <v>4.0731820309815027E-4</v>
      </c>
      <c r="E59" s="5">
        <f>IFERROR(ABS(D59-($M$32+$M$33*C59+$M$34*C59*C59+$M$35*C59*C59*C59)),'Equipamiento y listas'!$I$22)</f>
        <v>8.4551746940130987E-5</v>
      </c>
      <c r="F59" s="1">
        <f t="shared" si="3"/>
        <v>1.9E-3</v>
      </c>
      <c r="G59" s="1">
        <f t="shared" si="4"/>
        <v>1.98</v>
      </c>
      <c r="I59" s="555"/>
      <c r="J59" s="549"/>
      <c r="K59" s="550"/>
      <c r="L59" s="550"/>
      <c r="M59" s="550"/>
      <c r="N59" s="551"/>
    </row>
    <row r="60" spans="2:14" x14ac:dyDescent="0.25">
      <c r="B60" s="543"/>
      <c r="C60" s="1" t="b">
        <f>IF(NOT(ISBLANK('Toma de datos'!D52)),'Toma de datos'!D52*LOOKUP('Información general'!$L$53,'Equipamiento y listas'!$J$36:$J$48,'Equipamiento y listas'!$L$36:$L$48)*LOOKUP("psi",'Equipamiento y listas'!$K$47:$K$61,'Equipamiento y listas'!$L$47:$L$61))</f>
        <v>0</v>
      </c>
      <c r="D60" s="5">
        <f t="shared" si="2"/>
        <v>4.0731820309815027E-4</v>
      </c>
      <c r="E60" s="5">
        <f>IFERROR(ABS(D60-($M$32+$M$33*C60+$M$34*C60*C60+$M$35*C60*C60*C60)),'Equipamiento y listas'!$I$22)</f>
        <v>8.4551746940130987E-5</v>
      </c>
      <c r="F60" s="1">
        <f t="shared" si="3"/>
        <v>1.9E-3</v>
      </c>
      <c r="G60" s="1">
        <f t="shared" si="4"/>
        <v>1.98</v>
      </c>
      <c r="I60" s="555"/>
      <c r="J60" s="549"/>
      <c r="K60" s="550"/>
      <c r="L60" s="550"/>
      <c r="M60" s="550"/>
      <c r="N60" s="551"/>
    </row>
    <row r="61" spans="2:14" x14ac:dyDescent="0.25">
      <c r="B61" s="543"/>
      <c r="C61" s="1" t="b">
        <f>IF(NOT(ISBLANK('Toma de datos'!D53)),'Toma de datos'!D53*LOOKUP('Información general'!$L$53,'Equipamiento y listas'!$J$36:$J$48,'Equipamiento y listas'!$L$36:$L$48)*LOOKUP("psi",'Equipamiento y listas'!$K$47:$K$61,'Equipamiento y listas'!$L$47:$L$61))</f>
        <v>0</v>
      </c>
      <c r="D61" s="5">
        <f t="shared" si="2"/>
        <v>4.0731820309815027E-4</v>
      </c>
      <c r="E61" s="5">
        <f>IFERROR(ABS(D61-($M$32+$M$33*C61+$M$34*C61*C61+$M$35*C61*C61*C61)),'Equipamiento y listas'!$I$22)</f>
        <v>8.4551746940130987E-5</v>
      </c>
      <c r="F61" s="1">
        <f t="shared" si="3"/>
        <v>1.9E-3</v>
      </c>
      <c r="G61" s="1">
        <f t="shared" si="4"/>
        <v>1.98</v>
      </c>
      <c r="I61" s="555"/>
      <c r="J61" s="549"/>
      <c r="K61" s="550"/>
      <c r="L61" s="550"/>
      <c r="M61" s="550"/>
      <c r="N61" s="551"/>
    </row>
    <row r="62" spans="2:14" x14ac:dyDescent="0.25">
      <c r="B62" s="543"/>
      <c r="C62" s="1" t="b">
        <f>IF(NOT(ISBLANK('Toma de datos'!D54)),'Toma de datos'!D54*LOOKUP('Información general'!$L$53,'Equipamiento y listas'!$J$36:$J$48,'Equipamiento y listas'!$L$36:$L$48)*LOOKUP("psi",'Equipamiento y listas'!$K$47:$K$61,'Equipamiento y listas'!$L$47:$L$61))</f>
        <v>0</v>
      </c>
      <c r="D62" s="5">
        <f t="shared" si="2"/>
        <v>4.0731820309815027E-4</v>
      </c>
      <c r="E62" s="5">
        <f>IFERROR(ABS(D62-($M$32+$M$33*C62+$M$34*C62*C62+$M$35*C62*C62*C62)),'Equipamiento y listas'!$I$22)</f>
        <v>8.4551746940130987E-5</v>
      </c>
      <c r="F62" s="1">
        <f t="shared" si="3"/>
        <v>1.9E-3</v>
      </c>
      <c r="G62" s="1">
        <f t="shared" si="4"/>
        <v>1.98</v>
      </c>
      <c r="I62" s="555"/>
      <c r="J62" s="549"/>
      <c r="K62" s="550"/>
      <c r="L62" s="550"/>
      <c r="M62" s="550"/>
      <c r="N62" s="551"/>
    </row>
    <row r="63" spans="2:14" x14ac:dyDescent="0.25">
      <c r="B63" s="543"/>
      <c r="C63" s="1" t="b">
        <f>IF(NOT(ISBLANK('Toma de datos'!D55)),'Toma de datos'!D55*LOOKUP('Información general'!$L$53,'Equipamiento y listas'!$J$36:$J$48,'Equipamiento y listas'!$L$36:$L$48)*LOOKUP("psi",'Equipamiento y listas'!$K$47:$K$61,'Equipamiento y listas'!$L$47:$L$61))</f>
        <v>0</v>
      </c>
      <c r="D63" s="5">
        <f t="shared" si="2"/>
        <v>4.0731820309815027E-4</v>
      </c>
      <c r="E63" s="5">
        <f>IFERROR(ABS(D63-($M$32+$M$33*C63+$M$34*C63*C63+$M$35*C63*C63*C63)),'Equipamiento y listas'!$I$22)</f>
        <v>8.4551746940130987E-5</v>
      </c>
      <c r="F63" s="1">
        <f t="shared" si="3"/>
        <v>1.9E-3</v>
      </c>
      <c r="G63" s="1">
        <f t="shared" si="4"/>
        <v>1.98</v>
      </c>
      <c r="I63" s="555"/>
      <c r="J63" s="549"/>
      <c r="K63" s="550"/>
      <c r="L63" s="550"/>
      <c r="M63" s="550"/>
      <c r="N63" s="551"/>
    </row>
    <row r="64" spans="2:14" ht="15.75" thickBot="1" x14ac:dyDescent="0.3">
      <c r="B64" s="544"/>
      <c r="C64" s="33" t="b">
        <f>IF(NOT(ISBLANK('Toma de datos'!D56)),'Toma de datos'!D56*LOOKUP('Información general'!$L$53,'Equipamiento y listas'!$J$36:$J$48,'Equipamiento y listas'!$L$36:$L$48)*LOOKUP("psi",'Equipamiento y listas'!$K$47:$K$61,'Equipamiento y listas'!$L$47:$L$61))</f>
        <v>0</v>
      </c>
      <c r="D64" s="34">
        <f t="shared" si="2"/>
        <v>4.0731820309815027E-4</v>
      </c>
      <c r="E64" s="34">
        <f>IFERROR(ABS(D64-($M$32+$M$33*C64+$M$34*C64*C64+$M$35*C64*C64*C64)),'Equipamiento y listas'!$I$22)</f>
        <v>8.4551746940130987E-5</v>
      </c>
      <c r="F64" s="33">
        <f t="shared" si="3"/>
        <v>1.9E-3</v>
      </c>
      <c r="G64" s="33">
        <f t="shared" si="4"/>
        <v>1.98</v>
      </c>
      <c r="I64" s="555"/>
      <c r="J64" s="552"/>
      <c r="K64" s="553"/>
      <c r="L64" s="553"/>
      <c r="M64" s="553"/>
      <c r="N64" s="554"/>
    </row>
    <row r="65" spans="2:14" ht="14.45" customHeight="1" x14ac:dyDescent="0.25">
      <c r="B65" s="542" t="s">
        <v>265</v>
      </c>
      <c r="C65" s="31" t="b">
        <f>IF(NOT(ISBLANK('Toma de datos'!F47)),'Toma de datos'!F47*LOOKUP('Información general'!$L$53,'Equipamiento y listas'!$J$36:$J$48,'Equipamiento y listas'!$L$36:$L$48)*LOOKUP("psi",'Equipamiento y listas'!$K$47:$K$61,'Equipamiento y listas'!$L$47:$L$61))</f>
        <v>0</v>
      </c>
      <c r="D65" s="32">
        <f t="shared" si="2"/>
        <v>4.0731820309815027E-4</v>
      </c>
      <c r="E65" s="32">
        <f>IFERROR(ABS(D65-($M$32+$M$33*C65+$M$34*C65*C65+$M$35*C65*C65*C65)),'Equipamiento y listas'!$I$22)</f>
        <v>8.4551746940130987E-5</v>
      </c>
      <c r="F65" s="31">
        <f t="shared" si="3"/>
        <v>1.9E-3</v>
      </c>
      <c r="G65" s="31">
        <f t="shared" si="4"/>
        <v>1.98</v>
      </c>
      <c r="I65" s="555" t="s">
        <v>265</v>
      </c>
      <c r="J65" s="546"/>
      <c r="K65" s="547"/>
      <c r="L65" s="547"/>
      <c r="M65" s="547"/>
      <c r="N65" s="548"/>
    </row>
    <row r="66" spans="2:14" x14ac:dyDescent="0.25">
      <c r="B66" s="543"/>
      <c r="C66" s="1" t="b">
        <f>IF(NOT(ISBLANK('Toma de datos'!F48)),'Toma de datos'!F48*LOOKUP('Información general'!$L$53,'Equipamiento y listas'!$J$36:$J$48,'Equipamiento y listas'!$L$36:$L$48)*LOOKUP("psi",'Equipamiento y listas'!$K$47:$K$61,'Equipamiento y listas'!$L$47:$L$61))</f>
        <v>0</v>
      </c>
      <c r="D66" s="5">
        <f t="shared" si="2"/>
        <v>4.0731820309815027E-4</v>
      </c>
      <c r="E66" s="5">
        <f>IFERROR(ABS(D66-($M$32+$M$33*C66+$M$34*C66*C66+$M$35*C66*C66*C66)),'Equipamiento y listas'!$I$22)</f>
        <v>8.4551746940130987E-5</v>
      </c>
      <c r="F66" s="1">
        <f t="shared" si="3"/>
        <v>1.9E-3</v>
      </c>
      <c r="G66" s="1">
        <f t="shared" si="4"/>
        <v>1.98</v>
      </c>
      <c r="I66" s="555"/>
      <c r="J66" s="549"/>
      <c r="K66" s="550"/>
      <c r="L66" s="550"/>
      <c r="M66" s="550"/>
      <c r="N66" s="551"/>
    </row>
    <row r="67" spans="2:14" x14ac:dyDescent="0.25">
      <c r="B67" s="543"/>
      <c r="C67" s="1" t="b">
        <f>IF(NOT(ISBLANK('Toma de datos'!F49)),'Toma de datos'!F49*LOOKUP('Información general'!$L$53,'Equipamiento y listas'!$J$36:$J$48,'Equipamiento y listas'!$L$36:$L$48)*LOOKUP("psi",'Equipamiento y listas'!$K$47:$K$61,'Equipamiento y listas'!$L$47:$L$61))</f>
        <v>0</v>
      </c>
      <c r="D67" s="5">
        <f t="shared" si="2"/>
        <v>4.0731820309815027E-4</v>
      </c>
      <c r="E67" s="5">
        <f>IFERROR(ABS(D67-($M$32+$M$33*C67+$M$34*C67*C67+$M$35*C67*C67*C67)),'Equipamiento y listas'!$I$22)</f>
        <v>8.4551746940130987E-5</v>
      </c>
      <c r="F67" s="1">
        <f t="shared" si="3"/>
        <v>1.9E-3</v>
      </c>
      <c r="G67" s="1">
        <f t="shared" si="4"/>
        <v>1.98</v>
      </c>
      <c r="I67" s="555"/>
      <c r="J67" s="549"/>
      <c r="K67" s="550"/>
      <c r="L67" s="550"/>
      <c r="M67" s="550"/>
      <c r="N67" s="551"/>
    </row>
    <row r="68" spans="2:14" x14ac:dyDescent="0.25">
      <c r="B68" s="543"/>
      <c r="C68" s="1" t="b">
        <f>IF(NOT(ISBLANK('Toma de datos'!F50)),'Toma de datos'!F50*LOOKUP('Información general'!$L$53,'Equipamiento y listas'!$J$36:$J$48,'Equipamiento y listas'!$L$36:$L$48)*LOOKUP("psi",'Equipamiento y listas'!$K$47:$K$61,'Equipamiento y listas'!$L$47:$L$61))</f>
        <v>0</v>
      </c>
      <c r="D68" s="5">
        <f t="shared" si="2"/>
        <v>4.0731820309815027E-4</v>
      </c>
      <c r="E68" s="5">
        <f>IFERROR(ABS(D68-($M$32+$M$33*C68+$M$34*C68*C68+$M$35*C68*C68*C68)),'Equipamiento y listas'!$I$22)</f>
        <v>8.4551746940130987E-5</v>
      </c>
      <c r="F68" s="1">
        <f t="shared" si="3"/>
        <v>1.9E-3</v>
      </c>
      <c r="G68" s="1">
        <f t="shared" si="4"/>
        <v>1.98</v>
      </c>
      <c r="I68" s="555"/>
      <c r="J68" s="549"/>
      <c r="K68" s="550"/>
      <c r="L68" s="550"/>
      <c r="M68" s="550"/>
      <c r="N68" s="551"/>
    </row>
    <row r="69" spans="2:14" x14ac:dyDescent="0.25">
      <c r="B69" s="543"/>
      <c r="C69" s="1" t="b">
        <f>IF(NOT(ISBLANK('Toma de datos'!F51)),'Toma de datos'!F51*LOOKUP('Información general'!$L$53,'Equipamiento y listas'!$J$36:$J$48,'Equipamiento y listas'!$L$36:$L$48)*LOOKUP("psi",'Equipamiento y listas'!$K$47:$K$61,'Equipamiento y listas'!$L$47:$L$61))</f>
        <v>0</v>
      </c>
      <c r="D69" s="5">
        <f t="shared" si="2"/>
        <v>4.0731820309815027E-4</v>
      </c>
      <c r="E69" s="5">
        <f>IFERROR(ABS(D69-($M$32+$M$33*C69+$M$34*C69*C69+$M$35*C69*C69*C69)),'Equipamiento y listas'!$I$22)</f>
        <v>8.4551746940130987E-5</v>
      </c>
      <c r="F69" s="1">
        <f t="shared" si="3"/>
        <v>1.9E-3</v>
      </c>
      <c r="G69" s="1">
        <f t="shared" si="4"/>
        <v>1.98</v>
      </c>
      <c r="I69" s="555"/>
      <c r="J69" s="549"/>
      <c r="K69" s="550"/>
      <c r="L69" s="550"/>
      <c r="M69" s="550"/>
      <c r="N69" s="551"/>
    </row>
    <row r="70" spans="2:14" x14ac:dyDescent="0.25">
      <c r="B70" s="543"/>
      <c r="C70" s="1" t="b">
        <f>IF(NOT(ISBLANK('Toma de datos'!F52)),'Toma de datos'!F52*LOOKUP('Información general'!$L$53,'Equipamiento y listas'!$J$36:$J$48,'Equipamiento y listas'!$L$36:$L$48)*LOOKUP("psi",'Equipamiento y listas'!$K$47:$K$61,'Equipamiento y listas'!$L$47:$L$61))</f>
        <v>0</v>
      </c>
      <c r="D70" s="5">
        <f t="shared" si="2"/>
        <v>4.0731820309815027E-4</v>
      </c>
      <c r="E70" s="5">
        <f>IFERROR(ABS(D70-($M$32+$M$33*C70+$M$34*C70*C70+$M$35*C70*C70*C70)),'Equipamiento y listas'!$I$22)</f>
        <v>8.4551746940130987E-5</v>
      </c>
      <c r="F70" s="1">
        <f t="shared" si="3"/>
        <v>1.9E-3</v>
      </c>
      <c r="G70" s="1">
        <f t="shared" si="4"/>
        <v>1.98</v>
      </c>
      <c r="I70" s="555"/>
      <c r="J70" s="549"/>
      <c r="K70" s="550"/>
      <c r="L70" s="550"/>
      <c r="M70" s="550"/>
      <c r="N70" s="551"/>
    </row>
    <row r="71" spans="2:14" x14ac:dyDescent="0.25">
      <c r="B71" s="543"/>
      <c r="C71" s="1" t="b">
        <f>IF(NOT(ISBLANK('Toma de datos'!F53)),'Toma de datos'!F53*LOOKUP('Información general'!$L$53,'Equipamiento y listas'!$J$36:$J$48,'Equipamiento y listas'!$L$36:$L$48)*LOOKUP("psi",'Equipamiento y listas'!$K$47:$K$61,'Equipamiento y listas'!$L$47:$L$61))</f>
        <v>0</v>
      </c>
      <c r="D71" s="5">
        <f t="shared" si="2"/>
        <v>4.0731820309815027E-4</v>
      </c>
      <c r="E71" s="5">
        <f>IFERROR(ABS(D71-($M$32+$M$33*C71+$M$34*C71*C71+$M$35*C71*C71*C71)),'Equipamiento y listas'!$I$22)</f>
        <v>8.4551746940130987E-5</v>
      </c>
      <c r="F71" s="1">
        <f t="shared" si="3"/>
        <v>1.9E-3</v>
      </c>
      <c r="G71" s="1">
        <f t="shared" si="4"/>
        <v>1.98</v>
      </c>
      <c r="I71" s="555"/>
      <c r="J71" s="549"/>
      <c r="K71" s="550"/>
      <c r="L71" s="550"/>
      <c r="M71" s="550"/>
      <c r="N71" s="551"/>
    </row>
    <row r="72" spans="2:14" x14ac:dyDescent="0.25">
      <c r="B72" s="543"/>
      <c r="C72" s="1" t="b">
        <f>IF(NOT(ISBLANK('Toma de datos'!F54)),'Toma de datos'!F54*LOOKUP('Información general'!$L$53,'Equipamiento y listas'!$J$36:$J$48,'Equipamiento y listas'!$L$36:$L$48)*LOOKUP("psi",'Equipamiento y listas'!$K$47:$K$61,'Equipamiento y listas'!$L$47:$L$61))</f>
        <v>0</v>
      </c>
      <c r="D72" s="5">
        <f t="shared" si="2"/>
        <v>4.0731820309815027E-4</v>
      </c>
      <c r="E72" s="5">
        <f>IFERROR(ABS(D72-($M$32+$M$33*C72+$M$34*C72*C72+$M$35*C72*C72*C72)),'Equipamiento y listas'!$I$22)</f>
        <v>8.4551746940130987E-5</v>
      </c>
      <c r="F72" s="1">
        <f t="shared" si="3"/>
        <v>1.9E-3</v>
      </c>
      <c r="G72" s="1">
        <f t="shared" si="4"/>
        <v>1.98</v>
      </c>
      <c r="I72" s="555"/>
      <c r="J72" s="549"/>
      <c r="K72" s="550"/>
      <c r="L72" s="550"/>
      <c r="M72" s="550"/>
      <c r="N72" s="551"/>
    </row>
    <row r="73" spans="2:14" x14ac:dyDescent="0.25">
      <c r="B73" s="543"/>
      <c r="C73" s="1" t="b">
        <f>IF(NOT(ISBLANK('Toma de datos'!F55)),'Toma de datos'!F55*LOOKUP('Información general'!$L$53,'Equipamiento y listas'!$J$36:$J$48,'Equipamiento y listas'!$L$36:$L$48)*LOOKUP("psi",'Equipamiento y listas'!$K$47:$K$61,'Equipamiento y listas'!$L$47:$L$61))</f>
        <v>0</v>
      </c>
      <c r="D73" s="5">
        <f t="shared" si="2"/>
        <v>4.0731820309815027E-4</v>
      </c>
      <c r="E73" s="5">
        <f>IFERROR(ABS(D73-($M$32+$M$33*C73+$M$34*C73*C73+$M$35*C73*C73*C73)),'Equipamiento y listas'!$I$22)</f>
        <v>8.4551746940130987E-5</v>
      </c>
      <c r="F73" s="1">
        <f t="shared" si="3"/>
        <v>1.9E-3</v>
      </c>
      <c r="G73" s="1">
        <f t="shared" si="4"/>
        <v>1.98</v>
      </c>
      <c r="I73" s="555"/>
      <c r="J73" s="549"/>
      <c r="K73" s="550"/>
      <c r="L73" s="550"/>
      <c r="M73" s="550"/>
      <c r="N73" s="551"/>
    </row>
    <row r="74" spans="2:14" ht="15.75" thickBot="1" x14ac:dyDescent="0.3">
      <c r="B74" s="544"/>
      <c r="C74" s="33" t="b">
        <f>IF(NOT(ISBLANK('Toma de datos'!F56)),'Toma de datos'!F56*LOOKUP('Información general'!$L$53,'Equipamiento y listas'!$J$36:$J$48,'Equipamiento y listas'!$L$36:$L$48)*LOOKUP("psi",'Equipamiento y listas'!$K$47:$K$61,'Equipamiento y listas'!$L$47:$L$61))</f>
        <v>0</v>
      </c>
      <c r="D74" s="34">
        <f t="shared" si="2"/>
        <v>4.0731820309815027E-4</v>
      </c>
      <c r="E74" s="34">
        <f>IFERROR(ABS(D74-($M$32+$M$33*C74+$M$34*C74*C74+$M$35*C74*C74*C74)),'Equipamiento y listas'!$I$22)</f>
        <v>8.4551746940130987E-5</v>
      </c>
      <c r="F74" s="33">
        <f t="shared" si="3"/>
        <v>1.9E-3</v>
      </c>
      <c r="G74" s="33">
        <f t="shared" si="4"/>
        <v>1.98</v>
      </c>
      <c r="I74" s="555"/>
      <c r="J74" s="552"/>
      <c r="K74" s="553"/>
      <c r="L74" s="553"/>
      <c r="M74" s="553"/>
      <c r="N74" s="554"/>
    </row>
    <row r="75" spans="2:14" ht="14.45" customHeight="1" x14ac:dyDescent="0.25">
      <c r="B75" s="542" t="s">
        <v>262</v>
      </c>
      <c r="C75" s="29" t="b">
        <f>IF(NOT(ISBLANK('Toma de datos'!H47)),'Toma de datos'!H47*LOOKUP('Información general'!$L$53,'Equipamiento y listas'!$J$36:$J$48,'Equipamiento y listas'!$L$36:$L$48)*LOOKUP("psi",'Equipamiento y listas'!$K$47:$K$61,'Equipamiento y listas'!$L$47:$L$61))</f>
        <v>0</v>
      </c>
      <c r="D75" s="30">
        <f t="shared" si="2"/>
        <v>4.0731820309815027E-4</v>
      </c>
      <c r="E75" s="30">
        <f>IFERROR(ABS(D75-($M$32+$M$33*C75+$M$34*C75*C75+$M$35*C75*C75*C75)),'Equipamiento y listas'!$I$22)</f>
        <v>8.4551746940130987E-5</v>
      </c>
      <c r="F75" s="29">
        <f t="shared" si="3"/>
        <v>1.9E-3</v>
      </c>
      <c r="G75" s="29">
        <f t="shared" si="4"/>
        <v>1.98</v>
      </c>
      <c r="I75" s="555" t="s">
        <v>262</v>
      </c>
      <c r="J75" s="546"/>
      <c r="K75" s="547"/>
      <c r="L75" s="547"/>
      <c r="M75" s="547"/>
      <c r="N75" s="548"/>
    </row>
    <row r="76" spans="2:14" x14ac:dyDescent="0.25">
      <c r="B76" s="543"/>
      <c r="C76" s="1" t="b">
        <f>IF(NOT(ISBLANK('Toma de datos'!H48)),'Toma de datos'!H48*LOOKUP('Información general'!$L$53,'Equipamiento y listas'!$J$36:$J$48,'Equipamiento y listas'!$L$36:$L$48)*LOOKUP("psi",'Equipamiento y listas'!$K$47:$K$61,'Equipamiento y listas'!$L$47:$L$61))</f>
        <v>0</v>
      </c>
      <c r="D76" s="5">
        <f t="shared" si="2"/>
        <v>4.0731820309815027E-4</v>
      </c>
      <c r="E76" s="5">
        <f>IFERROR(ABS(D76-($M$32+$M$33*C76+$M$34*C76*C76+$M$35*C76*C76*C76)),'Equipamiento y listas'!$I$22)</f>
        <v>8.4551746940130987E-5</v>
      </c>
      <c r="F76" s="1">
        <f t="shared" si="3"/>
        <v>1.9E-3</v>
      </c>
      <c r="G76" s="1">
        <f t="shared" si="4"/>
        <v>1.98</v>
      </c>
      <c r="I76" s="555"/>
      <c r="J76" s="549"/>
      <c r="K76" s="550"/>
      <c r="L76" s="550"/>
      <c r="M76" s="550"/>
      <c r="N76" s="551"/>
    </row>
    <row r="77" spans="2:14" x14ac:dyDescent="0.25">
      <c r="B77" s="543"/>
      <c r="C77" s="1" t="b">
        <f>IF(NOT(ISBLANK('Toma de datos'!H49)),'Toma de datos'!H49*LOOKUP('Información general'!$L$53,'Equipamiento y listas'!$J$36:$J$48,'Equipamiento y listas'!$L$36:$L$48)*LOOKUP("psi",'Equipamiento y listas'!$K$47:$K$61,'Equipamiento y listas'!$L$47:$L$61))</f>
        <v>0</v>
      </c>
      <c r="D77" s="5">
        <f t="shared" si="2"/>
        <v>4.0731820309815027E-4</v>
      </c>
      <c r="E77" s="5">
        <f>IFERROR(ABS(D77-($M$32+$M$33*C77+$M$34*C77*C77+$M$35*C77*C77*C77)),'Equipamiento y listas'!$I$22)</f>
        <v>8.4551746940130987E-5</v>
      </c>
      <c r="F77" s="1">
        <f t="shared" si="3"/>
        <v>1.9E-3</v>
      </c>
      <c r="G77" s="1">
        <f t="shared" si="4"/>
        <v>1.98</v>
      </c>
      <c r="I77" s="555"/>
      <c r="J77" s="549"/>
      <c r="K77" s="550"/>
      <c r="L77" s="550"/>
      <c r="M77" s="550"/>
      <c r="N77" s="551"/>
    </row>
    <row r="78" spans="2:14" x14ac:dyDescent="0.25">
      <c r="B78" s="543"/>
      <c r="C78" s="1" t="b">
        <f>IF(NOT(ISBLANK('Toma de datos'!H50)),'Toma de datos'!H50*LOOKUP('Información general'!$L$53,'Equipamiento y listas'!$J$36:$J$48,'Equipamiento y listas'!$L$36:$L$48)*LOOKUP("psi",'Equipamiento y listas'!$K$47:$K$61,'Equipamiento y listas'!$L$47:$L$61))</f>
        <v>0</v>
      </c>
      <c r="D78" s="5">
        <f t="shared" si="2"/>
        <v>4.0731820309815027E-4</v>
      </c>
      <c r="E78" s="5">
        <f>IFERROR(ABS(D78-($M$32+$M$33*C78+$M$34*C78*C78+$M$35*C78*C78*C78)),'Equipamiento y listas'!$I$22)</f>
        <v>8.4551746940130987E-5</v>
      </c>
      <c r="F78" s="1">
        <f t="shared" si="3"/>
        <v>1.9E-3</v>
      </c>
      <c r="G78" s="1">
        <f t="shared" si="4"/>
        <v>1.98</v>
      </c>
      <c r="I78" s="555"/>
      <c r="J78" s="549"/>
      <c r="K78" s="550"/>
      <c r="L78" s="550"/>
      <c r="M78" s="550"/>
      <c r="N78" s="551"/>
    </row>
    <row r="79" spans="2:14" x14ac:dyDescent="0.25">
      <c r="B79" s="543"/>
      <c r="C79" s="1" t="b">
        <f>IF(NOT(ISBLANK('Toma de datos'!H51)),'Toma de datos'!H51*LOOKUP('Información general'!$L$53,'Equipamiento y listas'!$J$36:$J$48,'Equipamiento y listas'!$L$36:$L$48)*LOOKUP("psi",'Equipamiento y listas'!$K$47:$K$61,'Equipamiento y listas'!$L$47:$L$61))</f>
        <v>0</v>
      </c>
      <c r="D79" s="5">
        <f t="shared" si="2"/>
        <v>4.0731820309815027E-4</v>
      </c>
      <c r="E79" s="5">
        <f>IFERROR(ABS(D79-($M$32+$M$33*C79+$M$34*C79*C79+$M$35*C79*C79*C79)),'Equipamiento y listas'!$I$22)</f>
        <v>8.4551746940130987E-5</v>
      </c>
      <c r="F79" s="1">
        <f t="shared" si="3"/>
        <v>1.9E-3</v>
      </c>
      <c r="G79" s="1">
        <f t="shared" si="4"/>
        <v>1.98</v>
      </c>
      <c r="I79" s="555"/>
      <c r="J79" s="549"/>
      <c r="K79" s="550"/>
      <c r="L79" s="550"/>
      <c r="M79" s="550"/>
      <c r="N79" s="551"/>
    </row>
    <row r="80" spans="2:14" x14ac:dyDescent="0.25">
      <c r="B80" s="543"/>
      <c r="C80" s="1" t="b">
        <f>IF(NOT(ISBLANK('Toma de datos'!H52)),'Toma de datos'!H52*LOOKUP('Información general'!$L$53,'Equipamiento y listas'!$J$36:$J$48,'Equipamiento y listas'!$L$36:$L$48)*LOOKUP("psi",'Equipamiento y listas'!$K$47:$K$61,'Equipamiento y listas'!$L$47:$L$61))</f>
        <v>0</v>
      </c>
      <c r="D80" s="5">
        <f t="shared" si="2"/>
        <v>4.0731820309815027E-4</v>
      </c>
      <c r="E80" s="5">
        <f>IFERROR(ABS(D80-($M$32+$M$33*C80+$M$34*C80*C80+$M$35*C80*C80*C80)),'Equipamiento y listas'!$I$22)</f>
        <v>8.4551746940130987E-5</v>
      </c>
      <c r="F80" s="1">
        <f t="shared" si="3"/>
        <v>1.9E-3</v>
      </c>
      <c r="G80" s="1">
        <f t="shared" si="4"/>
        <v>1.98</v>
      </c>
      <c r="I80" s="555"/>
      <c r="J80" s="549"/>
      <c r="K80" s="550"/>
      <c r="L80" s="550"/>
      <c r="M80" s="550"/>
      <c r="N80" s="551"/>
    </row>
    <row r="81" spans="2:14" x14ac:dyDescent="0.25">
      <c r="B81" s="543"/>
      <c r="C81" s="1" t="b">
        <f>IF(NOT(ISBLANK('Toma de datos'!H53)),'Toma de datos'!H53*LOOKUP('Información general'!$L$53,'Equipamiento y listas'!$J$36:$J$48,'Equipamiento y listas'!$L$36:$L$48)*LOOKUP("psi",'Equipamiento y listas'!$K$47:$K$61,'Equipamiento y listas'!$L$47:$L$61))</f>
        <v>0</v>
      </c>
      <c r="D81" s="5">
        <f t="shared" si="2"/>
        <v>4.0731820309815027E-4</v>
      </c>
      <c r="E81" s="5">
        <f>IFERROR(ABS(D81-($M$32+$M$33*C81+$M$34*C81*C81+$M$35*C81*C81*C81)),'Equipamiento y listas'!$I$22)</f>
        <v>8.4551746940130987E-5</v>
      </c>
      <c r="F81" s="1">
        <f t="shared" si="3"/>
        <v>1.9E-3</v>
      </c>
      <c r="G81" s="1">
        <f t="shared" si="4"/>
        <v>1.98</v>
      </c>
      <c r="I81" s="555"/>
      <c r="J81" s="549"/>
      <c r="K81" s="550"/>
      <c r="L81" s="550"/>
      <c r="M81" s="550"/>
      <c r="N81" s="551"/>
    </row>
    <row r="82" spans="2:14" x14ac:dyDescent="0.25">
      <c r="B82" s="543"/>
      <c r="C82" s="1" t="b">
        <f>IF(NOT(ISBLANK('Toma de datos'!H54)),'Toma de datos'!H54*LOOKUP('Información general'!$L$53,'Equipamiento y listas'!$J$36:$J$48,'Equipamiento y listas'!$L$36:$L$48)*LOOKUP("psi",'Equipamiento y listas'!$K$47:$K$61,'Equipamiento y listas'!$L$47:$L$61))</f>
        <v>0</v>
      </c>
      <c r="D82" s="5">
        <f t="shared" si="2"/>
        <v>4.0731820309815027E-4</v>
      </c>
      <c r="E82" s="5">
        <f>IFERROR(ABS(D82-($M$32+$M$33*C82+$M$34*C82*C82+$M$35*C82*C82*C82)),'Equipamiento y listas'!$I$22)</f>
        <v>8.4551746940130987E-5</v>
      </c>
      <c r="F82" s="1">
        <f t="shared" si="3"/>
        <v>1.9E-3</v>
      </c>
      <c r="G82" s="1">
        <f t="shared" si="4"/>
        <v>1.98</v>
      </c>
      <c r="I82" s="555"/>
      <c r="J82" s="549"/>
      <c r="K82" s="550"/>
      <c r="L82" s="550"/>
      <c r="M82" s="550"/>
      <c r="N82" s="551"/>
    </row>
    <row r="83" spans="2:14" x14ac:dyDescent="0.25">
      <c r="B83" s="543"/>
      <c r="C83" s="1" t="b">
        <f>IF(NOT(ISBLANK('Toma de datos'!H55)),'Toma de datos'!H55*LOOKUP('Información general'!$L$53,'Equipamiento y listas'!$J$36:$J$48,'Equipamiento y listas'!$L$36:$L$48)*LOOKUP("psi",'Equipamiento y listas'!$K$47:$K$61,'Equipamiento y listas'!$L$47:$L$61))</f>
        <v>0</v>
      </c>
      <c r="D83" s="5">
        <f t="shared" si="2"/>
        <v>4.0731820309815027E-4</v>
      </c>
      <c r="E83" s="5">
        <f>IFERROR(ABS(D83-($M$32+$M$33*C83+$M$34*C83*C83+$M$35*C83*C83*C83)),'Equipamiento y listas'!$I$22)</f>
        <v>8.4551746940130987E-5</v>
      </c>
      <c r="F83" s="1">
        <f t="shared" si="3"/>
        <v>1.9E-3</v>
      </c>
      <c r="G83" s="1">
        <f t="shared" si="4"/>
        <v>1.98</v>
      </c>
      <c r="I83" s="555"/>
      <c r="J83" s="549"/>
      <c r="K83" s="550"/>
      <c r="L83" s="550"/>
      <c r="M83" s="550"/>
      <c r="N83" s="551"/>
    </row>
    <row r="84" spans="2:14" ht="15.75" thickBot="1" x14ac:dyDescent="0.3">
      <c r="B84" s="544"/>
      <c r="C84" s="27" t="b">
        <f>IF(NOT(ISBLANK('Toma de datos'!H56)),'Toma de datos'!H56*LOOKUP('Información general'!$L$53,'Equipamiento y listas'!$J$36:$J$48,'Equipamiento y listas'!$L$36:$L$48)*LOOKUP("psi",'Equipamiento y listas'!$K$47:$K$61,'Equipamiento y listas'!$L$47:$L$61))</f>
        <v>0</v>
      </c>
      <c r="D84" s="28">
        <f t="shared" si="2"/>
        <v>4.0731820309815027E-4</v>
      </c>
      <c r="E84" s="28">
        <f>IFERROR(ABS(D84-($M$32+$M$33*C84+$M$34*C84*C84+$M$35*C84*C84*C84)),'Equipamiento y listas'!$I$22)</f>
        <v>8.4551746940130987E-5</v>
      </c>
      <c r="F84" s="27">
        <f t="shared" si="3"/>
        <v>1.9E-3</v>
      </c>
      <c r="G84" s="27">
        <f t="shared" si="4"/>
        <v>1.98</v>
      </c>
      <c r="I84" s="555"/>
      <c r="J84" s="552"/>
      <c r="K84" s="553"/>
      <c r="L84" s="553"/>
      <c r="M84" s="553"/>
      <c r="N84" s="554"/>
    </row>
    <row r="85" spans="2:14" ht="14.45" customHeight="1" x14ac:dyDescent="0.25">
      <c r="B85" s="542" t="s">
        <v>263</v>
      </c>
      <c r="C85" s="31" t="b">
        <f>IF(NOT(ISBLANK('Toma de datos'!J47)),'Toma de datos'!J47*LOOKUP('Información general'!$L$53,'Equipamiento y listas'!$J$36:$J$48,'Equipamiento y listas'!$L$36:$L$48)*LOOKUP("psi",'Equipamiento y listas'!$K$47:$K$61,'Equipamiento y listas'!$L$47:$L$61))</f>
        <v>0</v>
      </c>
      <c r="D85" s="32">
        <f t="shared" si="2"/>
        <v>4.0731820309815027E-4</v>
      </c>
      <c r="E85" s="32">
        <f>IFERROR(ABS(D85-($M$32+$M$33*C85+$M$34*C85*C85+$M$35*C85*C85*C85)),'Equipamiento y listas'!$I$22)</f>
        <v>8.4551746940130987E-5</v>
      </c>
      <c r="F85" s="31">
        <f t="shared" si="3"/>
        <v>1.9E-3</v>
      </c>
      <c r="G85" s="31">
        <f t="shared" si="4"/>
        <v>1.98</v>
      </c>
      <c r="I85" s="555" t="s">
        <v>263</v>
      </c>
      <c r="J85" s="546"/>
      <c r="K85" s="547"/>
      <c r="L85" s="547"/>
      <c r="M85" s="547"/>
      <c r="N85" s="548"/>
    </row>
    <row r="86" spans="2:14" x14ac:dyDescent="0.25">
      <c r="B86" s="543"/>
      <c r="C86" s="29" t="b">
        <f>IF(NOT(ISBLANK('Toma de datos'!J48)),'Toma de datos'!J48*LOOKUP('Información general'!$L$53,'Equipamiento y listas'!$J$36:$J$48,'Equipamiento y listas'!$L$36:$L$48)*LOOKUP("psi",'Equipamiento y listas'!$K$47:$K$61,'Equipamiento y listas'!$L$47:$L$61))</f>
        <v>0</v>
      </c>
      <c r="D86" s="5">
        <f t="shared" si="2"/>
        <v>4.0731820309815027E-4</v>
      </c>
      <c r="E86" s="5">
        <f>IFERROR(ABS(D86-($M$32+$M$33*C86+$M$34*C86*C86+$M$35*C86*C86*C86)),'Equipamiento y listas'!$I$22)</f>
        <v>8.4551746940130987E-5</v>
      </c>
      <c r="F86" s="1">
        <f t="shared" si="3"/>
        <v>1.9E-3</v>
      </c>
      <c r="G86" s="1">
        <f t="shared" si="4"/>
        <v>1.98</v>
      </c>
      <c r="I86" s="555"/>
      <c r="J86" s="549"/>
      <c r="K86" s="550"/>
      <c r="L86" s="550"/>
      <c r="M86" s="550"/>
      <c r="N86" s="551"/>
    </row>
    <row r="87" spans="2:14" x14ac:dyDescent="0.25">
      <c r="B87" s="543"/>
      <c r="C87" s="29" t="b">
        <f>IF(NOT(ISBLANK('Toma de datos'!J49)),'Toma de datos'!J49*LOOKUP('Información general'!$L$53,'Equipamiento y listas'!$J$36:$J$48,'Equipamiento y listas'!$L$36:$L$48)*LOOKUP("psi",'Equipamiento y listas'!$K$47:$K$61,'Equipamiento y listas'!$L$47:$L$61))</f>
        <v>0</v>
      </c>
      <c r="D87" s="5">
        <f t="shared" si="2"/>
        <v>4.0731820309815027E-4</v>
      </c>
      <c r="E87" s="5">
        <f>IFERROR(ABS(D87-($M$32+$M$33*C87+$M$34*C87*C87+$M$35*C87*C87*C87)),'Equipamiento y listas'!$I$22)</f>
        <v>8.4551746940130987E-5</v>
      </c>
      <c r="F87" s="1">
        <f t="shared" si="3"/>
        <v>1.9E-3</v>
      </c>
      <c r="G87" s="1">
        <f t="shared" si="4"/>
        <v>1.98</v>
      </c>
      <c r="I87" s="555"/>
      <c r="J87" s="549"/>
      <c r="K87" s="550"/>
      <c r="L87" s="550"/>
      <c r="M87" s="550"/>
      <c r="N87" s="551"/>
    </row>
    <row r="88" spans="2:14" x14ac:dyDescent="0.25">
      <c r="B88" s="543"/>
      <c r="C88" s="29" t="b">
        <f>IF(NOT(ISBLANK('Toma de datos'!J50)),'Toma de datos'!J50*LOOKUP('Información general'!$L$53,'Equipamiento y listas'!$J$36:$J$48,'Equipamiento y listas'!$L$36:$L$48)*LOOKUP("psi",'Equipamiento y listas'!$K$47:$K$61,'Equipamiento y listas'!$L$47:$L$61))</f>
        <v>0</v>
      </c>
      <c r="D88" s="5">
        <f t="shared" si="2"/>
        <v>4.0731820309815027E-4</v>
      </c>
      <c r="E88" s="5">
        <f>IFERROR(ABS(D88-($M$32+$M$33*C88+$M$34*C88*C88+$M$35*C88*C88*C88)),'Equipamiento y listas'!$I$22)</f>
        <v>8.4551746940130987E-5</v>
      </c>
      <c r="F88" s="1">
        <f t="shared" si="3"/>
        <v>1.9E-3</v>
      </c>
      <c r="G88" s="1">
        <f t="shared" si="4"/>
        <v>1.98</v>
      </c>
      <c r="I88" s="555"/>
      <c r="J88" s="549"/>
      <c r="K88" s="550"/>
      <c r="L88" s="550"/>
      <c r="M88" s="550"/>
      <c r="N88" s="551"/>
    </row>
    <row r="89" spans="2:14" x14ac:dyDescent="0.25">
      <c r="B89" s="543"/>
      <c r="C89" s="29" t="b">
        <f>IF(NOT(ISBLANK('Toma de datos'!J51)),'Toma de datos'!J51*LOOKUP('Información general'!$L$53,'Equipamiento y listas'!$J$36:$J$48,'Equipamiento y listas'!$L$36:$L$48)*LOOKUP("psi",'Equipamiento y listas'!$K$47:$K$61,'Equipamiento y listas'!$L$47:$L$61))</f>
        <v>0</v>
      </c>
      <c r="D89" s="5">
        <f t="shared" si="2"/>
        <v>4.0731820309815027E-4</v>
      </c>
      <c r="E89" s="5">
        <f>IFERROR(ABS(D89-($M$32+$M$33*C89+$M$34*C89*C89+$M$35*C89*C89*C89)),'Equipamiento y listas'!$I$22)</f>
        <v>8.4551746940130987E-5</v>
      </c>
      <c r="F89" s="1">
        <f t="shared" si="3"/>
        <v>1.9E-3</v>
      </c>
      <c r="G89" s="1">
        <f t="shared" si="4"/>
        <v>1.98</v>
      </c>
      <c r="I89" s="555"/>
      <c r="J89" s="549"/>
      <c r="K89" s="550"/>
      <c r="L89" s="550"/>
      <c r="M89" s="550"/>
      <c r="N89" s="551"/>
    </row>
    <row r="90" spans="2:14" x14ac:dyDescent="0.25">
      <c r="B90" s="543"/>
      <c r="C90" s="29" t="b">
        <f>IF(NOT(ISBLANK('Toma de datos'!J52)),'Toma de datos'!J52*LOOKUP('Información general'!$L$53,'Equipamiento y listas'!$J$36:$J$48,'Equipamiento y listas'!$L$36:$L$48)*LOOKUP("psi",'Equipamiento y listas'!$K$47:$K$61,'Equipamiento y listas'!$L$47:$L$61))</f>
        <v>0</v>
      </c>
      <c r="D90" s="5">
        <f t="shared" si="2"/>
        <v>4.0731820309815027E-4</v>
      </c>
      <c r="E90" s="5">
        <f>IFERROR(ABS(D90-($M$32+$M$33*C90+$M$34*C90*C90+$M$35*C90*C90*C90)),'Equipamiento y listas'!$I$22)</f>
        <v>8.4551746940130987E-5</v>
      </c>
      <c r="F90" s="1">
        <f t="shared" si="3"/>
        <v>1.9E-3</v>
      </c>
      <c r="G90" s="1">
        <f t="shared" si="4"/>
        <v>1.98</v>
      </c>
      <c r="I90" s="555"/>
      <c r="J90" s="549"/>
      <c r="K90" s="550"/>
      <c r="L90" s="550"/>
      <c r="M90" s="550"/>
      <c r="N90" s="551"/>
    </row>
    <row r="91" spans="2:14" x14ac:dyDescent="0.25">
      <c r="B91" s="543"/>
      <c r="C91" s="29" t="b">
        <f>IF(NOT(ISBLANK('Toma de datos'!J53)),'Toma de datos'!J53*LOOKUP('Información general'!$L$53,'Equipamiento y listas'!$J$36:$J$48,'Equipamiento y listas'!$L$36:$L$48)*LOOKUP("psi",'Equipamiento y listas'!$K$47:$K$61,'Equipamiento y listas'!$L$47:$L$61))</f>
        <v>0</v>
      </c>
      <c r="D91" s="5">
        <f t="shared" si="2"/>
        <v>4.0731820309815027E-4</v>
      </c>
      <c r="E91" s="5">
        <f>IFERROR(ABS(D91-($M$32+$M$33*C91+$M$34*C91*C91+$M$35*C91*C91*C91)),'Equipamiento y listas'!$I$22)</f>
        <v>8.4551746940130987E-5</v>
      </c>
      <c r="F91" s="1">
        <f t="shared" si="3"/>
        <v>1.9E-3</v>
      </c>
      <c r="G91" s="1">
        <f t="shared" si="4"/>
        <v>1.98</v>
      </c>
      <c r="I91" s="555"/>
      <c r="J91" s="549"/>
      <c r="K91" s="550"/>
      <c r="L91" s="550"/>
      <c r="M91" s="550"/>
      <c r="N91" s="551"/>
    </row>
    <row r="92" spans="2:14" x14ac:dyDescent="0.25">
      <c r="B92" s="543"/>
      <c r="C92" s="29" t="b">
        <f>IF(NOT(ISBLANK('Toma de datos'!J54)),'Toma de datos'!J54*LOOKUP('Información general'!$L$53,'Equipamiento y listas'!$J$36:$J$48,'Equipamiento y listas'!$L$36:$L$48)*LOOKUP("psi",'Equipamiento y listas'!$K$47:$K$61,'Equipamiento y listas'!$L$47:$L$61))</f>
        <v>0</v>
      </c>
      <c r="D92" s="5">
        <f t="shared" si="2"/>
        <v>4.0731820309815027E-4</v>
      </c>
      <c r="E92" s="5">
        <f>IFERROR(ABS(D92-($M$32+$M$33*C92+$M$34*C92*C92+$M$35*C92*C92*C92)),'Equipamiento y listas'!$I$22)</f>
        <v>8.4551746940130987E-5</v>
      </c>
      <c r="F92" s="1">
        <f t="shared" si="3"/>
        <v>1.9E-3</v>
      </c>
      <c r="G92" s="1">
        <f t="shared" si="4"/>
        <v>1.98</v>
      </c>
      <c r="I92" s="555"/>
      <c r="J92" s="549"/>
      <c r="K92" s="550"/>
      <c r="L92" s="550"/>
      <c r="M92" s="550"/>
      <c r="N92" s="551"/>
    </row>
    <row r="93" spans="2:14" x14ac:dyDescent="0.25">
      <c r="B93" s="543"/>
      <c r="C93" s="29" t="b">
        <f>IF(NOT(ISBLANK('Toma de datos'!J55)),'Toma de datos'!J55*LOOKUP('Información general'!$L$53,'Equipamiento y listas'!$J$36:$J$48,'Equipamiento y listas'!$L$36:$L$48)*LOOKUP("psi",'Equipamiento y listas'!$K$47:$K$61,'Equipamiento y listas'!$L$47:$L$61))</f>
        <v>0</v>
      </c>
      <c r="D93" s="5">
        <f t="shared" si="2"/>
        <v>4.0731820309815027E-4</v>
      </c>
      <c r="E93" s="5">
        <f>IFERROR(ABS(D93-($M$32+$M$33*C93+$M$34*C93*C93+$M$35*C93*C93*C93)),'Equipamiento y listas'!$I$22)</f>
        <v>8.4551746940130987E-5</v>
      </c>
      <c r="F93" s="1">
        <f t="shared" si="3"/>
        <v>1.9E-3</v>
      </c>
      <c r="G93" s="1">
        <f t="shared" si="4"/>
        <v>1.98</v>
      </c>
      <c r="I93" s="555"/>
      <c r="J93" s="549"/>
      <c r="K93" s="550"/>
      <c r="L93" s="550"/>
      <c r="M93" s="550"/>
      <c r="N93" s="551"/>
    </row>
    <row r="94" spans="2:14" ht="15.75" thickBot="1" x14ac:dyDescent="0.3">
      <c r="B94" s="544"/>
      <c r="C94" s="52" t="b">
        <f>IF(NOT(ISBLANK('Toma de datos'!J56)),'Toma de datos'!J56*LOOKUP('Información general'!$L$53,'Equipamiento y listas'!$J$36:$J$48,'Equipamiento y listas'!$L$36:$L$48)*LOOKUP("psi",'Equipamiento y listas'!$K$47:$K$61,'Equipamiento y listas'!$L$47:$L$61))</f>
        <v>0</v>
      </c>
      <c r="D94" s="34">
        <f t="shared" si="2"/>
        <v>4.0731820309815027E-4</v>
      </c>
      <c r="E94" s="34">
        <f>IFERROR(ABS(D94-($M$32+$M$33*C94+$M$34*C94*C94+$M$35*C94*C94*C94)),'Equipamiento y listas'!$I$22)</f>
        <v>8.4551746940130987E-5</v>
      </c>
      <c r="F94" s="33">
        <f t="shared" si="3"/>
        <v>1.9E-3</v>
      </c>
      <c r="G94" s="33">
        <f t="shared" si="4"/>
        <v>1.98</v>
      </c>
      <c r="I94" s="555"/>
      <c r="J94" s="549"/>
      <c r="K94" s="550"/>
      <c r="L94" s="550"/>
      <c r="M94" s="550"/>
      <c r="N94" s="551"/>
    </row>
    <row r="95" spans="2:14" ht="14.45" customHeight="1" x14ac:dyDescent="0.25">
      <c r="B95" s="542" t="s">
        <v>264</v>
      </c>
      <c r="C95" s="29" t="b">
        <f>IF(NOT(ISBLANK('Toma de datos'!L47)),'Toma de datos'!L47*LOOKUP('Información general'!$L$53,'Equipamiento y listas'!$J$36:$J$48,'Equipamiento y listas'!$L$36:$L$48)*LOOKUP("psi",'Equipamiento y listas'!$K$47:$K$61,'Equipamiento y listas'!$L$47:$L$61))</f>
        <v>0</v>
      </c>
      <c r="D95" s="30">
        <f t="shared" si="2"/>
        <v>4.0731820309815027E-4</v>
      </c>
      <c r="E95" s="30">
        <f>IFERROR(ABS(D95-($M$32+$M$33*C95+$M$34*C95*C95+$M$35*C95*C95*C95)),'Equipamiento y listas'!$I$22)</f>
        <v>8.4551746940130987E-5</v>
      </c>
      <c r="F95" s="29">
        <f t="shared" si="3"/>
        <v>1.9E-3</v>
      </c>
      <c r="G95" s="29">
        <f t="shared" si="4"/>
        <v>1.98</v>
      </c>
      <c r="I95" s="555" t="s">
        <v>264</v>
      </c>
      <c r="J95" s="546"/>
      <c r="K95" s="547"/>
      <c r="L95" s="547"/>
      <c r="M95" s="547"/>
      <c r="N95" s="548"/>
    </row>
    <row r="96" spans="2:14" x14ac:dyDescent="0.25">
      <c r="B96" s="543"/>
      <c r="C96" s="29" t="b">
        <f>IF(NOT(ISBLANK('Toma de datos'!L48)),'Toma de datos'!L48*LOOKUP('Información general'!$L$53,'Equipamiento y listas'!$J$36:$J$48,'Equipamiento y listas'!$L$36:$L$48)*LOOKUP("psi",'Equipamiento y listas'!$K$47:$K$61,'Equipamiento y listas'!$L$47:$L$61))</f>
        <v>0</v>
      </c>
      <c r="D96" s="5">
        <f t="shared" si="2"/>
        <v>4.0731820309815027E-4</v>
      </c>
      <c r="E96" s="5">
        <f>IFERROR(ABS(D96-($M$32+$M$33*C96+$M$34*C96*C96+$M$35*C96*C96*C96)),'Equipamiento y listas'!$I$22)</f>
        <v>8.4551746940130987E-5</v>
      </c>
      <c r="F96" s="1">
        <f t="shared" si="3"/>
        <v>1.9E-3</v>
      </c>
      <c r="G96" s="1">
        <f t="shared" si="4"/>
        <v>1.98</v>
      </c>
      <c r="I96" s="555"/>
      <c r="J96" s="549"/>
      <c r="K96" s="550"/>
      <c r="L96" s="550"/>
      <c r="M96" s="550"/>
      <c r="N96" s="551"/>
    </row>
    <row r="97" spans="1:15" x14ac:dyDescent="0.25">
      <c r="B97" s="543"/>
      <c r="C97" s="29" t="b">
        <f>IF(NOT(ISBLANK('Toma de datos'!L49)),'Toma de datos'!L49*LOOKUP('Información general'!$L$53,'Equipamiento y listas'!$J$36:$J$48,'Equipamiento y listas'!$L$36:$L$48)*LOOKUP("psi",'Equipamiento y listas'!$K$47:$K$61,'Equipamiento y listas'!$L$47:$L$61))</f>
        <v>0</v>
      </c>
      <c r="D97" s="5">
        <f t="shared" si="2"/>
        <v>4.0731820309815027E-4</v>
      </c>
      <c r="E97" s="5">
        <f>IFERROR(ABS(D97-($M$32+$M$33*C97+$M$34*C97*C97+$M$35*C97*C97*C97)),'Equipamiento y listas'!$I$22)</f>
        <v>8.4551746940130987E-5</v>
      </c>
      <c r="F97" s="1">
        <f t="shared" si="3"/>
        <v>1.9E-3</v>
      </c>
      <c r="G97" s="1">
        <f t="shared" si="4"/>
        <v>1.98</v>
      </c>
      <c r="I97" s="555"/>
      <c r="J97" s="549"/>
      <c r="K97" s="550"/>
      <c r="L97" s="550"/>
      <c r="M97" s="550"/>
      <c r="N97" s="551"/>
    </row>
    <row r="98" spans="1:15" x14ac:dyDescent="0.25">
      <c r="B98" s="543"/>
      <c r="C98" s="29" t="b">
        <f>IF(NOT(ISBLANK('Toma de datos'!L50)),'Toma de datos'!L50*LOOKUP('Información general'!$L$53,'Equipamiento y listas'!$J$36:$J$48,'Equipamiento y listas'!$L$36:$L$48)*LOOKUP("psi",'Equipamiento y listas'!$K$47:$K$61,'Equipamiento y listas'!$L$47:$L$61))</f>
        <v>0</v>
      </c>
      <c r="D98" s="5">
        <f t="shared" si="2"/>
        <v>4.0731820309815027E-4</v>
      </c>
      <c r="E98" s="5">
        <f>IFERROR(ABS(D98-($M$32+$M$33*C98+$M$34*C98*C98+$M$35*C98*C98*C98)),'Equipamiento y listas'!$I$22)</f>
        <v>8.4551746940130987E-5</v>
      </c>
      <c r="F98" s="1">
        <f t="shared" si="3"/>
        <v>1.9E-3</v>
      </c>
      <c r="G98" s="1">
        <f t="shared" si="4"/>
        <v>1.98</v>
      </c>
      <c r="I98" s="555"/>
      <c r="J98" s="549"/>
      <c r="K98" s="550"/>
      <c r="L98" s="550"/>
      <c r="M98" s="550"/>
      <c r="N98" s="551"/>
    </row>
    <row r="99" spans="1:15" x14ac:dyDescent="0.25">
      <c r="B99" s="543"/>
      <c r="C99" s="29" t="b">
        <f>IF(NOT(ISBLANK('Toma de datos'!L51)),'Toma de datos'!L51*LOOKUP('Información general'!$L$53,'Equipamiento y listas'!$J$36:$J$48,'Equipamiento y listas'!$L$36:$L$48)*LOOKUP("psi",'Equipamiento y listas'!$K$47:$K$61,'Equipamiento y listas'!$L$47:$L$61))</f>
        <v>0</v>
      </c>
      <c r="D99" s="5">
        <f t="shared" si="2"/>
        <v>4.0731820309815027E-4</v>
      </c>
      <c r="E99" s="5">
        <f>IFERROR(ABS(D99-($M$32+$M$33*C99+$M$34*C99*C99+$M$35*C99*C99*C99)),'Equipamiento y listas'!$I$22)</f>
        <v>8.4551746940130987E-5</v>
      </c>
      <c r="F99" s="1">
        <f t="shared" si="3"/>
        <v>1.9E-3</v>
      </c>
      <c r="G99" s="1">
        <f t="shared" si="4"/>
        <v>1.98</v>
      </c>
      <c r="I99" s="555"/>
      <c r="J99" s="549"/>
      <c r="K99" s="550"/>
      <c r="L99" s="550"/>
      <c r="M99" s="550"/>
      <c r="N99" s="551"/>
    </row>
    <row r="100" spans="1:15" x14ac:dyDescent="0.25">
      <c r="B100" s="543"/>
      <c r="C100" s="29" t="b">
        <f>IF(NOT(ISBLANK('Toma de datos'!L52)),'Toma de datos'!L52*LOOKUP('Información general'!$L$53,'Equipamiento y listas'!$J$36:$J$48,'Equipamiento y listas'!$L$36:$L$48)*LOOKUP("psi",'Equipamiento y listas'!$K$47:$K$61,'Equipamiento y listas'!$L$47:$L$61))</f>
        <v>0</v>
      </c>
      <c r="D100" s="5">
        <f t="shared" si="2"/>
        <v>4.0731820309815027E-4</v>
      </c>
      <c r="E100" s="5">
        <f>IFERROR(ABS(D100-($M$32+$M$33*C100+$M$34*C100*C100+$M$35*C100*C100*C100)),'Equipamiento y listas'!$I$22)</f>
        <v>8.4551746940130987E-5</v>
      </c>
      <c r="F100" s="1">
        <f t="shared" si="3"/>
        <v>1.9E-3</v>
      </c>
      <c r="G100" s="1">
        <f t="shared" si="4"/>
        <v>1.98</v>
      </c>
      <c r="I100" s="555"/>
      <c r="J100" s="549"/>
      <c r="K100" s="550"/>
      <c r="L100" s="550"/>
      <c r="M100" s="550"/>
      <c r="N100" s="551"/>
    </row>
    <row r="101" spans="1:15" x14ac:dyDescent="0.25">
      <c r="B101" s="543"/>
      <c r="C101" s="29" t="b">
        <f>IF(NOT(ISBLANK('Toma de datos'!L53)),'Toma de datos'!L53*LOOKUP('Información general'!$L$53,'Equipamiento y listas'!$J$36:$J$48,'Equipamiento y listas'!$L$36:$L$48)*LOOKUP("psi",'Equipamiento y listas'!$K$47:$K$61,'Equipamiento y listas'!$L$47:$L$61))</f>
        <v>0</v>
      </c>
      <c r="D101" s="5">
        <f t="shared" si="2"/>
        <v>4.0731820309815027E-4</v>
      </c>
      <c r="E101" s="5">
        <f>IFERROR(ABS(D101-($M$32+$M$33*C101+$M$34*C101*C101+$M$35*C101*C101*C101)),'Equipamiento y listas'!$I$22)</f>
        <v>8.4551746940130987E-5</v>
      </c>
      <c r="F101" s="1">
        <f t="shared" si="3"/>
        <v>1.9E-3</v>
      </c>
      <c r="G101" s="1">
        <f t="shared" si="4"/>
        <v>1.98</v>
      </c>
      <c r="I101" s="555"/>
      <c r="J101" s="549"/>
      <c r="K101" s="550"/>
      <c r="L101" s="550"/>
      <c r="M101" s="550"/>
      <c r="N101" s="551"/>
    </row>
    <row r="102" spans="1:15" x14ac:dyDescent="0.25">
      <c r="B102" s="543"/>
      <c r="C102" s="29" t="b">
        <f>IF(NOT(ISBLANK('Toma de datos'!L54)),'Toma de datos'!L54*LOOKUP('Información general'!$L$53,'Equipamiento y listas'!$J$36:$J$48,'Equipamiento y listas'!$L$36:$L$48)*LOOKUP("psi",'Equipamiento y listas'!$K$47:$K$61,'Equipamiento y listas'!$L$47:$L$61))</f>
        <v>0</v>
      </c>
      <c r="D102" s="5">
        <f t="shared" si="2"/>
        <v>4.0731820309815027E-4</v>
      </c>
      <c r="E102" s="5">
        <f>IFERROR(ABS(D102-($M$32+$M$33*C102+$M$34*C102*C102+$M$35*C102*C102*C102)),'Equipamiento y listas'!$I$22)</f>
        <v>8.4551746940130987E-5</v>
      </c>
      <c r="F102" s="1">
        <f t="shared" si="3"/>
        <v>1.9E-3</v>
      </c>
      <c r="G102" s="1">
        <f t="shared" si="4"/>
        <v>1.98</v>
      </c>
      <c r="I102" s="555"/>
      <c r="J102" s="549"/>
      <c r="K102" s="550"/>
      <c r="L102" s="550"/>
      <c r="M102" s="550"/>
      <c r="N102" s="551"/>
    </row>
    <row r="103" spans="1:15" x14ac:dyDescent="0.25">
      <c r="B103" s="543"/>
      <c r="C103" s="29" t="b">
        <f>IF(NOT(ISBLANK('Toma de datos'!L55)),'Toma de datos'!L55*LOOKUP('Información general'!$L$53,'Equipamiento y listas'!$J$36:$J$48,'Equipamiento y listas'!$L$36:$L$48)*LOOKUP("psi",'Equipamiento y listas'!$K$47:$K$61,'Equipamiento y listas'!$L$47:$L$61))</f>
        <v>0</v>
      </c>
      <c r="D103" s="5">
        <f t="shared" si="2"/>
        <v>4.0731820309815027E-4</v>
      </c>
      <c r="E103" s="5">
        <f>IFERROR(ABS(D103-($M$32+$M$33*C103+$M$34*C103*C103+$M$35*C103*C103*C103)),'Equipamiento y listas'!$I$22)</f>
        <v>8.4551746940130987E-5</v>
      </c>
      <c r="F103" s="1">
        <f t="shared" si="3"/>
        <v>1.9E-3</v>
      </c>
      <c r="G103" s="1">
        <f t="shared" si="4"/>
        <v>1.98</v>
      </c>
      <c r="I103" s="555"/>
      <c r="J103" s="549"/>
      <c r="K103" s="550"/>
      <c r="L103" s="550"/>
      <c r="M103" s="550"/>
      <c r="N103" s="551"/>
    </row>
    <row r="104" spans="1:15" x14ac:dyDescent="0.25">
      <c r="B104" s="545"/>
      <c r="C104" s="29" t="b">
        <f>IF(NOT(ISBLANK('Toma de datos'!L56)),'Toma de datos'!L56*LOOKUP('Información general'!$L$53,'Equipamiento y listas'!$J$36:$J$48,'Equipamiento y listas'!$L$36:$L$48)*LOOKUP("psi",'Equipamiento y listas'!$K$47:$K$61,'Equipamiento y listas'!$L$47:$L$61))</f>
        <v>0</v>
      </c>
      <c r="D104" s="5">
        <f t="shared" si="2"/>
        <v>4.0731820309815027E-4</v>
      </c>
      <c r="E104" s="5">
        <f>IFERROR(ABS(D104-($M$32+$M$33*C104+$M$34*C104*C104+$M$35*C104*C104*C104)),'Equipamiento y listas'!$I$22)</f>
        <v>8.4551746940130987E-5</v>
      </c>
      <c r="F104" s="1">
        <f t="shared" si="3"/>
        <v>1.9E-3</v>
      </c>
      <c r="G104" s="1">
        <f t="shared" si="4"/>
        <v>1.98</v>
      </c>
      <c r="I104" s="563"/>
      <c r="J104" s="552"/>
      <c r="K104" s="553"/>
      <c r="L104" s="553"/>
      <c r="M104" s="553"/>
      <c r="N104" s="554"/>
    </row>
    <row r="106" spans="1:15" ht="24.95" customHeight="1" x14ac:dyDescent="0.25">
      <c r="A106" s="536" t="s">
        <v>204</v>
      </c>
      <c r="B106" s="536"/>
      <c r="C106" s="536"/>
      <c r="D106" s="536"/>
      <c r="E106" s="536"/>
      <c r="F106" s="536"/>
      <c r="G106" s="536"/>
      <c r="H106" s="536"/>
      <c r="I106" s="536"/>
      <c r="J106" s="536"/>
      <c r="K106" s="536"/>
      <c r="L106" s="536"/>
      <c r="M106" s="536"/>
      <c r="N106" s="536"/>
      <c r="O106" s="536"/>
    </row>
    <row r="108" spans="1:15" x14ac:dyDescent="0.25">
      <c r="B108" s="537" t="s">
        <v>60</v>
      </c>
      <c r="C108" s="505"/>
      <c r="D108" s="505"/>
      <c r="E108" s="505"/>
      <c r="F108" s="505"/>
      <c r="G108" s="506"/>
      <c r="I108" s="508" t="s">
        <v>61</v>
      </c>
      <c r="J108" s="508"/>
      <c r="K108" s="508"/>
      <c r="L108" s="508"/>
      <c r="M108" s="508"/>
      <c r="N108" s="508"/>
    </row>
    <row r="109" spans="1:15" x14ac:dyDescent="0.25">
      <c r="B109" s="538"/>
      <c r="C109" s="508"/>
      <c r="D109" s="508"/>
      <c r="E109" s="508"/>
      <c r="F109" s="508"/>
      <c r="G109" s="509"/>
      <c r="I109" s="508"/>
      <c r="J109" s="508"/>
      <c r="K109" s="508"/>
      <c r="L109" s="508"/>
      <c r="M109" s="508"/>
      <c r="N109" s="508"/>
    </row>
    <row r="110" spans="1:15" x14ac:dyDescent="0.25">
      <c r="B110" s="538"/>
      <c r="C110" s="508"/>
      <c r="D110" s="508"/>
      <c r="E110" s="508"/>
      <c r="F110" s="508"/>
      <c r="G110" s="509"/>
      <c r="I110" s="508"/>
      <c r="J110" s="508"/>
      <c r="K110" s="508"/>
      <c r="L110" s="508"/>
      <c r="M110" s="508"/>
      <c r="N110" s="508"/>
    </row>
    <row r="111" spans="1:15" ht="14.45" customHeight="1" x14ac:dyDescent="0.25">
      <c r="B111" s="485" t="s">
        <v>26</v>
      </c>
      <c r="C111" s="485"/>
      <c r="D111" s="486"/>
      <c r="E111" s="479">
        <f>'Equipamiento y listas'!K23</f>
        <v>45469</v>
      </c>
      <c r="F111" s="480"/>
      <c r="G111" s="480"/>
      <c r="I111" s="485" t="s">
        <v>118</v>
      </c>
      <c r="J111" s="485"/>
      <c r="K111" s="486"/>
      <c r="L111" s="491">
        <v>44461</v>
      </c>
      <c r="M111" s="492"/>
      <c r="N111" s="492"/>
    </row>
    <row r="112" spans="1:15" x14ac:dyDescent="0.25">
      <c r="B112" s="487"/>
      <c r="C112" s="487"/>
      <c r="D112" s="488"/>
      <c r="E112" s="481"/>
      <c r="F112" s="482"/>
      <c r="G112" s="482"/>
      <c r="I112" s="487"/>
      <c r="J112" s="487"/>
      <c r="K112" s="488"/>
      <c r="L112" s="493"/>
      <c r="M112" s="494"/>
      <c r="N112" s="494"/>
    </row>
    <row r="113" spans="1:14" x14ac:dyDescent="0.25">
      <c r="B113" s="489"/>
      <c r="C113" s="489"/>
      <c r="D113" s="490"/>
      <c r="E113" s="483"/>
      <c r="F113" s="484"/>
      <c r="G113" s="484"/>
      <c r="I113" s="489"/>
      <c r="J113" s="489"/>
      <c r="K113" s="490"/>
      <c r="L113" s="495"/>
      <c r="M113" s="496"/>
      <c r="N113" s="496"/>
    </row>
    <row r="114" spans="1:14" ht="14.45" customHeight="1" x14ac:dyDescent="0.25">
      <c r="B114" s="524" t="s">
        <v>197</v>
      </c>
      <c r="C114" s="497" t="s">
        <v>198</v>
      </c>
      <c r="D114" s="497" t="s">
        <v>199</v>
      </c>
      <c r="E114" s="497" t="s">
        <v>200</v>
      </c>
      <c r="F114" s="518" t="s">
        <v>58</v>
      </c>
      <c r="G114" s="522" t="s">
        <v>201</v>
      </c>
      <c r="I114" s="524" t="s">
        <v>197</v>
      </c>
      <c r="J114" s="497" t="s">
        <v>198</v>
      </c>
      <c r="K114" s="497" t="s">
        <v>199</v>
      </c>
      <c r="L114" s="497" t="s">
        <v>200</v>
      </c>
      <c r="M114" s="518" t="s">
        <v>58</v>
      </c>
      <c r="N114" s="518" t="s">
        <v>201</v>
      </c>
    </row>
    <row r="115" spans="1:14" x14ac:dyDescent="0.25">
      <c r="B115" s="525"/>
      <c r="C115" s="498"/>
      <c r="D115" s="498"/>
      <c r="E115" s="498"/>
      <c r="F115" s="498"/>
      <c r="G115" s="500"/>
      <c r="I115" s="525"/>
      <c r="J115" s="498"/>
      <c r="K115" s="498"/>
      <c r="L115" s="498"/>
      <c r="M115" s="498"/>
      <c r="N115" s="498"/>
    </row>
    <row r="116" spans="1:14" x14ac:dyDescent="0.25">
      <c r="B116" s="525"/>
      <c r="C116" s="498"/>
      <c r="D116" s="498"/>
      <c r="E116" s="498"/>
      <c r="F116" s="498"/>
      <c r="G116" s="500"/>
      <c r="I116" s="525"/>
      <c r="J116" s="498"/>
      <c r="K116" s="498"/>
      <c r="L116" s="498"/>
      <c r="M116" s="498"/>
      <c r="N116" s="498"/>
    </row>
    <row r="117" spans="1:14" ht="14.45" customHeight="1" x14ac:dyDescent="0.25">
      <c r="A117" s="6"/>
      <c r="B117" s="17">
        <v>-0.1</v>
      </c>
      <c r="C117" s="17">
        <v>0</v>
      </c>
      <c r="D117" s="17">
        <v>-0.1</v>
      </c>
      <c r="E117" s="17">
        <v>0.59</v>
      </c>
      <c r="F117" s="17">
        <v>2.0299999999999998</v>
      </c>
      <c r="G117" s="18">
        <f>IF(NOT(ISBLANK(C117)),$F$128+$F$129*C117+$F$130*C117*C117)</f>
        <v>-0.20194848658088754</v>
      </c>
      <c r="H117" s="7"/>
      <c r="I117" s="17">
        <v>100</v>
      </c>
      <c r="J117" s="17">
        <v>100.17</v>
      </c>
      <c r="K117" s="17">
        <v>-0.17</v>
      </c>
      <c r="L117" s="17">
        <v>0.14000000000000001</v>
      </c>
      <c r="M117" s="17">
        <v>2</v>
      </c>
      <c r="N117" s="18">
        <f>IF(NOT(ISBLANK(J117)),$M$128+$M$129*J117+$M$130*J117*J117+$M$131*J117*J117*J117)</f>
        <v>-0.16910554935660566</v>
      </c>
    </row>
    <row r="118" spans="1:14" x14ac:dyDescent="0.25">
      <c r="B118" s="17">
        <v>4.7</v>
      </c>
      <c r="C118" s="17">
        <v>5</v>
      </c>
      <c r="D118" s="17">
        <v>-0.33</v>
      </c>
      <c r="E118" s="17">
        <v>0.64</v>
      </c>
      <c r="F118" s="17">
        <v>2.02</v>
      </c>
      <c r="G118" s="18">
        <f t="shared" ref="G118:G127" si="5">IF(NOT(ISBLANK(C118)),$F$128+$F$129*C118+$F$130*C118*C118)</f>
        <v>-0.20094788481675532</v>
      </c>
      <c r="H118" s="7"/>
      <c r="I118" s="17">
        <v>500</v>
      </c>
      <c r="J118" s="17">
        <v>500.07</v>
      </c>
      <c r="K118" s="17">
        <v>-7.0000000000000007E-2</v>
      </c>
      <c r="L118" s="17">
        <v>0.14000000000000001</v>
      </c>
      <c r="M118" s="17">
        <v>2</v>
      </c>
      <c r="N118" s="18">
        <f t="shared" ref="N118:N127" si="6">IF(NOT(ISBLANK(J118)),$M$128+$M$129*J118+$M$130*J118*J118+$M$131*J118*J118*J118)</f>
        <v>-8.4296250497046032E-2</v>
      </c>
    </row>
    <row r="119" spans="1:14" x14ac:dyDescent="0.25">
      <c r="B119" s="17">
        <v>9.8000000000000007</v>
      </c>
      <c r="C119" s="17">
        <v>10</v>
      </c>
      <c r="D119" s="17">
        <v>-0.15</v>
      </c>
      <c r="E119" s="17">
        <v>0.64</v>
      </c>
      <c r="F119" s="17">
        <v>2.02</v>
      </c>
      <c r="G119" s="18">
        <f t="shared" si="5"/>
        <v>-0.199950153220497</v>
      </c>
      <c r="H119" s="7"/>
      <c r="I119" s="17">
        <v>1000</v>
      </c>
      <c r="J119" s="17">
        <v>999.97</v>
      </c>
      <c r="K119" s="17">
        <v>0.03</v>
      </c>
      <c r="L119" s="17">
        <v>0.16</v>
      </c>
      <c r="M119" s="17">
        <v>2</v>
      </c>
      <c r="N119" s="18">
        <f t="shared" si="6"/>
        <v>3.1608573719435124E-2</v>
      </c>
    </row>
    <row r="120" spans="1:14" x14ac:dyDescent="0.25">
      <c r="B120" s="17">
        <v>14.8</v>
      </c>
      <c r="C120" s="17">
        <v>15</v>
      </c>
      <c r="D120" s="17">
        <v>-0.2</v>
      </c>
      <c r="E120" s="17">
        <v>0.64</v>
      </c>
      <c r="F120" s="17">
        <v>2.02</v>
      </c>
      <c r="G120" s="18">
        <f t="shared" si="5"/>
        <v>-0.19895529179211272</v>
      </c>
      <c r="H120" s="7"/>
      <c r="I120" s="17">
        <v>1500</v>
      </c>
      <c r="J120" s="17">
        <v>1499.85</v>
      </c>
      <c r="K120" s="17">
        <v>0.15</v>
      </c>
      <c r="L120" s="17">
        <v>0.2</v>
      </c>
      <c r="M120" s="17">
        <v>2</v>
      </c>
      <c r="N120" s="18">
        <f t="shared" si="6"/>
        <v>0.15668226412215885</v>
      </c>
    </row>
    <row r="121" spans="1:14" x14ac:dyDescent="0.25">
      <c r="B121" s="17">
        <v>99.9</v>
      </c>
      <c r="C121" s="17">
        <v>100</v>
      </c>
      <c r="D121" s="17">
        <v>-0.12</v>
      </c>
      <c r="E121" s="17">
        <v>0.64</v>
      </c>
      <c r="F121" s="17">
        <v>2.02</v>
      </c>
      <c r="G121" s="18">
        <f t="shared" si="5"/>
        <v>-0.18248178319429506</v>
      </c>
      <c r="H121" s="7"/>
      <c r="I121" s="17">
        <v>2000</v>
      </c>
      <c r="J121" s="17">
        <v>1999.75</v>
      </c>
      <c r="K121" s="17">
        <v>0.25</v>
      </c>
      <c r="L121" s="17">
        <v>0.23</v>
      </c>
      <c r="M121" s="17">
        <v>2</v>
      </c>
      <c r="N121" s="18">
        <f t="shared" si="6"/>
        <v>0.28899261201110854</v>
      </c>
    </row>
    <row r="122" spans="1:14" x14ac:dyDescent="0.25">
      <c r="B122" s="17">
        <v>999.7</v>
      </c>
      <c r="C122" s="17">
        <v>1000</v>
      </c>
      <c r="D122" s="17">
        <v>-0.27</v>
      </c>
      <c r="E122" s="17">
        <v>0.68</v>
      </c>
      <c r="F122" s="17">
        <v>2.02</v>
      </c>
      <c r="G122" s="18">
        <f t="shared" si="5"/>
        <v>-5.8944474446230979E-2</v>
      </c>
      <c r="H122" s="7"/>
      <c r="I122" s="17">
        <v>2500</v>
      </c>
      <c r="J122" s="17">
        <v>2499.5700000000002</v>
      </c>
      <c r="K122" s="17">
        <v>0.43</v>
      </c>
      <c r="L122" s="17">
        <v>0.24</v>
      </c>
      <c r="M122" s="17">
        <v>2</v>
      </c>
      <c r="N122" s="18">
        <f t="shared" si="6"/>
        <v>0.42657016206987719</v>
      </c>
    </row>
    <row r="123" spans="1:14" x14ac:dyDescent="0.25">
      <c r="B123" s="17">
        <v>2000.1</v>
      </c>
      <c r="C123" s="17">
        <v>2000</v>
      </c>
      <c r="D123" s="17">
        <v>0.13</v>
      </c>
      <c r="E123" s="17">
        <v>0.71</v>
      </c>
      <c r="F123" s="17">
        <v>2.0099999999999998</v>
      </c>
      <c r="G123" s="18">
        <f t="shared" si="5"/>
        <v>-3.0747177269948633E-2</v>
      </c>
      <c r="H123" s="7"/>
      <c r="I123" s="17">
        <v>3000</v>
      </c>
      <c r="J123" s="17">
        <v>2999.42</v>
      </c>
      <c r="K123" s="17">
        <v>0.57999999999999996</v>
      </c>
      <c r="L123" s="17">
        <v>0.28999999999999998</v>
      </c>
      <c r="M123" s="17">
        <v>2</v>
      </c>
      <c r="N123" s="18">
        <f t="shared" si="6"/>
        <v>0.56750273208528779</v>
      </c>
    </row>
    <row r="124" spans="1:14" x14ac:dyDescent="0.25">
      <c r="B124" s="17">
        <v>3000.3</v>
      </c>
      <c r="C124" s="17">
        <v>3000</v>
      </c>
      <c r="D124" s="17">
        <v>0.25</v>
      </c>
      <c r="E124" s="17">
        <v>0.72</v>
      </c>
      <c r="F124" s="17">
        <v>2.0099999999999998</v>
      </c>
      <c r="G124" s="18">
        <f t="shared" si="5"/>
        <v>-0.11735659505204049</v>
      </c>
      <c r="H124" s="7"/>
      <c r="I124" s="17">
        <v>3500</v>
      </c>
      <c r="J124" s="17">
        <v>3499.27</v>
      </c>
      <c r="K124" s="17">
        <v>0.73</v>
      </c>
      <c r="L124" s="17">
        <v>0.31</v>
      </c>
      <c r="M124" s="17">
        <v>2</v>
      </c>
      <c r="N124" s="18">
        <f t="shared" si="6"/>
        <v>0.70984050470363702</v>
      </c>
    </row>
    <row r="125" spans="1:14" x14ac:dyDescent="0.25">
      <c r="B125" s="17">
        <v>4000</v>
      </c>
      <c r="C125" s="17">
        <v>4000</v>
      </c>
      <c r="D125" s="17">
        <v>0</v>
      </c>
      <c r="E125" s="17">
        <v>0.71</v>
      </c>
      <c r="F125" s="17">
        <v>2.0099999999999998</v>
      </c>
      <c r="G125" s="18">
        <f t="shared" si="5"/>
        <v>-0.31877272779250654</v>
      </c>
      <c r="H125" s="7"/>
      <c r="I125" s="17">
        <v>4000</v>
      </c>
      <c r="J125" s="17">
        <v>3999.1</v>
      </c>
      <c r="K125" s="17">
        <v>0.9</v>
      </c>
      <c r="L125" s="17">
        <v>0.36</v>
      </c>
      <c r="M125" s="17">
        <v>2</v>
      </c>
      <c r="N125" s="18">
        <f t="shared" si="6"/>
        <v>0.85163614379040165</v>
      </c>
    </row>
    <row r="126" spans="1:14" x14ac:dyDescent="0.25">
      <c r="B126" s="17">
        <v>5000.3</v>
      </c>
      <c r="C126" s="17">
        <v>5000</v>
      </c>
      <c r="D126" s="17">
        <v>0.28999999999999998</v>
      </c>
      <c r="E126" s="17">
        <v>0.71</v>
      </c>
      <c r="F126" s="17">
        <v>2.0099999999999998</v>
      </c>
      <c r="G126" s="18">
        <f t="shared" si="5"/>
        <v>-0.634995575491347</v>
      </c>
      <c r="I126" s="17">
        <v>5000</v>
      </c>
      <c r="J126" s="17">
        <v>4998.95</v>
      </c>
      <c r="K126" s="17">
        <v>1.05</v>
      </c>
      <c r="L126" s="17">
        <v>0.42</v>
      </c>
      <c r="M126" s="17">
        <v>2</v>
      </c>
      <c r="N126" s="18">
        <f t="shared" si="6"/>
        <v>1.125902390129417</v>
      </c>
    </row>
    <row r="127" spans="1:14" x14ac:dyDescent="0.25">
      <c r="B127" s="19">
        <v>6000.6</v>
      </c>
      <c r="C127" s="20">
        <v>6000</v>
      </c>
      <c r="D127" s="20">
        <v>0.56000000000000005</v>
      </c>
      <c r="E127" s="20">
        <v>0.71</v>
      </c>
      <c r="F127" s="17">
        <v>2.0099999999999998</v>
      </c>
      <c r="G127" s="18">
        <f t="shared" si="5"/>
        <v>-1.0660251381485615</v>
      </c>
      <c r="I127" s="19">
        <v>6000</v>
      </c>
      <c r="J127" s="20">
        <v>5998.6</v>
      </c>
      <c r="K127" s="20">
        <v>1.4</v>
      </c>
      <c r="L127" s="20">
        <v>0.5</v>
      </c>
      <c r="M127" s="17">
        <v>2</v>
      </c>
      <c r="N127" s="18">
        <f t="shared" si="6"/>
        <v>1.3746664172223266</v>
      </c>
    </row>
    <row r="128" spans="1:14" ht="17.100000000000001" customHeight="1" x14ac:dyDescent="0.25">
      <c r="B128" s="502" t="s">
        <v>62</v>
      </c>
      <c r="C128" s="515"/>
      <c r="D128" s="526" t="s">
        <v>63</v>
      </c>
      <c r="E128" s="527"/>
      <c r="F128" s="16">
        <f>INDEX(LINEST(D117:D127,C117:C127^{1,2,3}),4)</f>
        <v>-0.20194848658088754</v>
      </c>
      <c r="G128" s="1" t="s">
        <v>196</v>
      </c>
      <c r="I128" s="502" t="s">
        <v>62</v>
      </c>
      <c r="J128" s="515"/>
      <c r="K128" s="526" t="s">
        <v>63</v>
      </c>
      <c r="L128" s="527"/>
      <c r="M128" s="16">
        <f>INDEX(LINEST(K117:K127,J117:J127^{1,2,3}),4)</f>
        <v>-0.18911828915766332</v>
      </c>
      <c r="N128" s="1" t="s">
        <v>196</v>
      </c>
    </row>
    <row r="129" spans="2:14" ht="17.100000000000001" customHeight="1" x14ac:dyDescent="0.25">
      <c r="B129" s="502"/>
      <c r="C129" s="515"/>
      <c r="D129" s="526" t="s">
        <v>64</v>
      </c>
      <c r="E129" s="527"/>
      <c r="F129" s="16">
        <f>INDEX(LINEST(D117:D127,C117:C127^{1,2,3}),3)</f>
        <v>2.0040736961384368E-4</v>
      </c>
      <c r="G129" s="1">
        <v>1</v>
      </c>
      <c r="I129" s="502"/>
      <c r="J129" s="515"/>
      <c r="K129" s="526" t="s">
        <v>64</v>
      </c>
      <c r="L129" s="527"/>
      <c r="M129" s="16">
        <f>INDEX(LINEST(K117:K127,J117:J127^{1,2,3}),3)</f>
        <v>1.9719642226439691E-4</v>
      </c>
      <c r="N129" s="1">
        <v>1</v>
      </c>
    </row>
    <row r="130" spans="2:14" ht="17.100000000000001" customHeight="1" x14ac:dyDescent="0.25">
      <c r="B130" s="503"/>
      <c r="C130" s="516"/>
      <c r="D130" s="526" t="s">
        <v>65</v>
      </c>
      <c r="E130" s="527"/>
      <c r="F130" s="16">
        <f>INDEX(LINEST(D117:D127,C117:C127^{1,2,3}),2)</f>
        <v>-5.7403357479187105E-8</v>
      </c>
      <c r="G130" s="1" t="s">
        <v>202</v>
      </c>
      <c r="I130" s="503"/>
      <c r="J130" s="516"/>
      <c r="K130" s="526" t="s">
        <v>65</v>
      </c>
      <c r="L130" s="527"/>
      <c r="M130" s="16">
        <f>INDEX(LINEST(K117:K127,J117:J127^{1,2,3}),2)</f>
        <v>2.6128954462744055E-8</v>
      </c>
      <c r="N130" s="1" t="s">
        <v>202</v>
      </c>
    </row>
    <row r="131" spans="2:14" ht="17.100000000000001" customHeight="1" x14ac:dyDescent="0.25">
      <c r="B131" s="503"/>
      <c r="C131" s="516"/>
      <c r="D131" s="526" t="s">
        <v>193</v>
      </c>
      <c r="E131" s="527"/>
      <c r="F131" s="16">
        <f>INDEX(LINEST(D117:D127,C117:C127^{1,2,3}),1)</f>
        <v>7.4175007640037738E-12</v>
      </c>
      <c r="G131" s="1" t="s">
        <v>203</v>
      </c>
      <c r="I131" s="503"/>
      <c r="J131" s="516"/>
      <c r="K131" s="526" t="s">
        <v>193</v>
      </c>
      <c r="L131" s="527"/>
      <c r="M131" s="16">
        <f>INDEX(LINEST(K117:K127,J117:J127^{1,2,3}),1)</f>
        <v>-2.5912634503370878E-12</v>
      </c>
      <c r="N131" s="1" t="s">
        <v>203</v>
      </c>
    </row>
    <row r="132" spans="2:14" ht="17.100000000000001" customHeight="1" x14ac:dyDescent="0.25">
      <c r="B132" s="503"/>
      <c r="C132" s="516"/>
      <c r="D132" s="528" t="s">
        <v>71</v>
      </c>
      <c r="E132" s="529"/>
      <c r="F132" s="5">
        <f>RSQ(D117:D127,C117:C127)</f>
        <v>0.78055754931239052</v>
      </c>
      <c r="G132" s="1" t="s">
        <v>72</v>
      </c>
      <c r="I132" s="503"/>
      <c r="J132" s="516"/>
      <c r="K132" s="528" t="s">
        <v>71</v>
      </c>
      <c r="L132" s="529"/>
      <c r="M132" s="5">
        <f>RSQ(K117:K127,J117:J127)</f>
        <v>0.99462729194311184</v>
      </c>
      <c r="N132" s="1" t="s">
        <v>72</v>
      </c>
    </row>
    <row r="133" spans="2:14" ht="17.100000000000001" customHeight="1" x14ac:dyDescent="0.25">
      <c r="B133" s="517"/>
      <c r="C133" s="518"/>
      <c r="D133" s="530" t="s">
        <v>81</v>
      </c>
      <c r="E133" s="531"/>
      <c r="F133" s="5">
        <f t="array" ref="F133">SQRT(SUMSQ(D117:D127-G117:G127)/(COUNT(D117:D127)-COUNT(F128:F131)))</f>
        <v>0.7406535337265796</v>
      </c>
      <c r="G133" s="1" t="s">
        <v>196</v>
      </c>
      <c r="I133" s="517"/>
      <c r="J133" s="518"/>
      <c r="K133" s="530" t="s">
        <v>81</v>
      </c>
      <c r="L133" s="531"/>
      <c r="M133" s="5">
        <f t="array" ref="M133">SQRT(SUMSQ(K117:K127-N117:N127)/(COUNT(K117:K127)-4))</f>
        <v>3.9801692983057489E-2</v>
      </c>
      <c r="N133" s="1" t="s">
        <v>196</v>
      </c>
    </row>
    <row r="135" spans="2:14" ht="14.45" customHeight="1" x14ac:dyDescent="0.25">
      <c r="B135" s="501" t="s">
        <v>78</v>
      </c>
      <c r="C135" s="504" t="s">
        <v>79</v>
      </c>
      <c r="D135" s="505"/>
      <c r="E135" s="505"/>
      <c r="F135" s="505"/>
      <c r="G135" s="506"/>
      <c r="I135" s="501" t="s">
        <v>274</v>
      </c>
      <c r="J135" s="540"/>
      <c r="K135" s="540"/>
      <c r="L135" s="540"/>
      <c r="M135" s="540"/>
      <c r="N135" s="541"/>
    </row>
    <row r="136" spans="2:14" x14ac:dyDescent="0.25">
      <c r="B136" s="502"/>
      <c r="C136" s="507"/>
      <c r="D136" s="508"/>
      <c r="E136" s="508"/>
      <c r="F136" s="508"/>
      <c r="G136" s="509"/>
      <c r="I136" s="502"/>
      <c r="J136" s="515"/>
      <c r="K136" s="515"/>
      <c r="L136" s="515"/>
      <c r="M136" s="515"/>
      <c r="N136" s="535"/>
    </row>
    <row r="137" spans="2:14" x14ac:dyDescent="0.25">
      <c r="B137" s="502"/>
      <c r="C137" s="510"/>
      <c r="D137" s="511"/>
      <c r="E137" s="511"/>
      <c r="F137" s="511"/>
      <c r="G137" s="512"/>
      <c r="I137" s="502"/>
      <c r="J137" s="515"/>
      <c r="K137" s="515"/>
      <c r="L137" s="515"/>
      <c r="M137" s="515"/>
      <c r="N137" s="535"/>
    </row>
    <row r="138" spans="2:14" x14ac:dyDescent="0.25">
      <c r="B138" s="502"/>
      <c r="C138" s="497" t="s">
        <v>198</v>
      </c>
      <c r="D138" s="497" t="s">
        <v>199</v>
      </c>
      <c r="E138" s="497" t="s">
        <v>261</v>
      </c>
      <c r="F138" s="497" t="s">
        <v>200</v>
      </c>
      <c r="G138" s="499" t="s">
        <v>58</v>
      </c>
      <c r="I138" s="556" t="s">
        <v>123</v>
      </c>
      <c r="J138" s="557"/>
      <c r="K138" s="559" t="s">
        <v>122</v>
      </c>
      <c r="L138" s="557"/>
      <c r="M138" s="559" t="s">
        <v>124</v>
      </c>
      <c r="N138" s="561"/>
    </row>
    <row r="139" spans="2:14" x14ac:dyDescent="0.25">
      <c r="B139" s="502"/>
      <c r="C139" s="498"/>
      <c r="D139" s="498"/>
      <c r="E139" s="498"/>
      <c r="F139" s="498"/>
      <c r="G139" s="500"/>
      <c r="I139" s="556"/>
      <c r="J139" s="557"/>
      <c r="K139" s="559"/>
      <c r="L139" s="557"/>
      <c r="M139" s="559"/>
      <c r="N139" s="561"/>
    </row>
    <row r="140" spans="2:14" x14ac:dyDescent="0.25">
      <c r="B140" s="503"/>
      <c r="C140" s="498"/>
      <c r="D140" s="498"/>
      <c r="E140" s="498"/>
      <c r="F140" s="498"/>
      <c r="G140" s="500"/>
      <c r="I140" s="556"/>
      <c r="J140" s="558"/>
      <c r="K140" s="560"/>
      <c r="L140" s="558"/>
      <c r="M140" s="560"/>
      <c r="N140" s="562"/>
    </row>
    <row r="141" spans="2:14" ht="14.45" customHeight="1" x14ac:dyDescent="0.25">
      <c r="B141" s="542" t="s">
        <v>259</v>
      </c>
      <c r="C141" s="1" t="b">
        <f>IF(NOT(ISBLANK('Toma de datos'!B47)),'Toma de datos'!B47*LOOKUP('Información general'!$L$53,'Equipamiento y listas'!$J$36:$J$48,'Equipamiento y listas'!$L$36:$L$48)*LOOKUP("psi",'Equipamiento y listas'!$K$47:$K$61,'Equipamiento y listas'!$L$47:$L$61))</f>
        <v>0</v>
      </c>
      <c r="D141" s="5">
        <f>$F$128+$F$129*C141+$F$130*C141*C141+$F$131*C141*C141*C141</f>
        <v>-0.20194848658088754</v>
      </c>
      <c r="E141" s="5">
        <f>IFERROR(ABS(D141-($M$128+$M$129*C141+$M$130*C141*C141+$M$131*C141*C141*C141)),'Equipamiento y listas'!$I$23)</f>
        <v>1.2830197423224221E-2</v>
      </c>
      <c r="F141" s="1" t="b">
        <f>IF(AND($C$117&lt;=C141,C141&lt;=$C$118),MAX($E$117:$E$118),IF(AND($C$118&lt;=C141,C141&lt;=$C$119),MAX($E$118:$E$119),IF(AND($C$119&lt;=C141,C141&lt;=$C$120),MAX($E$119:$E$120),IF(AND($C$120&lt;=C141,C141&lt;=$C$121),MAX($E$120:$E$121),IF(AND($C$121&lt;=C141,C141&lt;=$C$122),MAX($E$121:$E$122),IF(AND($C$122&lt;=C141,C141&lt;=$C$123),MAX($E$122:$E$123),IF(AND($C$123&lt;=C141,C141&lt;=$C$124),MAX($E$123:$E$124),IF(AND($C$124&lt;=C141,C141&lt;=$C$125),MAX($E$124:$E$125),IF(AND($C$125&lt;=C141,C141&lt;=$C$126),MAX($E$125:$E$126),IF(AND($C$126&lt;=C141,C141&lt;=$C$127),MAX($E$126:$E$127)))))))))))</f>
        <v>0</v>
      </c>
      <c r="G141" s="1" t="e">
        <f t="shared" ref="G141:G200" si="7">VLOOKUP(F141,$E$117:$F$127,2)</f>
        <v>#N/A</v>
      </c>
      <c r="I141" s="542" t="s">
        <v>267</v>
      </c>
      <c r="J141" s="546"/>
      <c r="K141" s="547"/>
      <c r="L141" s="547"/>
      <c r="M141" s="547"/>
      <c r="N141" s="548"/>
    </row>
    <row r="142" spans="2:14" x14ac:dyDescent="0.25">
      <c r="B142" s="543"/>
      <c r="C142" s="1" t="b">
        <f>IF(NOT(ISBLANK('Toma de datos'!B48)),'Toma de datos'!B48*LOOKUP('Información general'!$L$53,'Equipamiento y listas'!$J$36:$J$48,'Equipamiento y listas'!$L$36:$L$48)*LOOKUP("psi",'Equipamiento y listas'!$K$47:$K$61,'Equipamiento y listas'!$L$47:$L$61))</f>
        <v>0</v>
      </c>
      <c r="D142" s="5">
        <f t="shared" ref="D142:D200" si="8">$F$128+$F$129*C142+$F$130*C142*C142+$F$131*C142*C142*C142</f>
        <v>-0.20194848658088754</v>
      </c>
      <c r="E142" s="5">
        <f>IFERROR(ABS(D142-($M$128+$M$129*C142+$M$130*C142*C142+$M$131*C142*C142*C142)),'Equipamiento y listas'!$I$23)</f>
        <v>1.2830197423224221E-2</v>
      </c>
      <c r="F142" s="1" t="b">
        <f t="shared" ref="F142:F200" si="9">IF(AND($C$117&lt;=C142,C142&lt;=$C$118),MAX($E$117:$E$118),IF(AND($C$118&lt;=C142,C142&lt;=$C$119),MAX($E$118:$E$119),IF(AND($C$119&lt;=C142,C142&lt;=$C$120),MAX($E$119:$E$120),IF(AND($C$120&lt;=C142,C142&lt;=$C$121),MAX($E$120:$E$121),IF(AND($C$121&lt;=C142,C142&lt;=$C$122),MAX($E$121:$E$122),IF(AND($C$122&lt;=C142,C142&lt;=$C$123),MAX($E$122:$E$123),IF(AND($C$123&lt;=C142,C142&lt;=$C$124),MAX($E$123:$E$124),IF(AND($C$124&lt;=C142,C142&lt;=$C$125),MAX($E$124:$E$125),IF(AND($C$125&lt;=C142,C142&lt;=$C$126),MAX($E$125:$E$126),IF(AND($C$126&lt;=C142,C142&lt;=$C$127),MAX($E$126:$E$127)))))))))))</f>
        <v>0</v>
      </c>
      <c r="G142" s="1" t="e">
        <f t="shared" si="7"/>
        <v>#N/A</v>
      </c>
      <c r="I142" s="543"/>
      <c r="J142" s="549"/>
      <c r="K142" s="550"/>
      <c r="L142" s="550"/>
      <c r="M142" s="550"/>
      <c r="N142" s="551"/>
    </row>
    <row r="143" spans="2:14" x14ac:dyDescent="0.25">
      <c r="B143" s="543"/>
      <c r="C143" s="1" t="b">
        <f>IF(NOT(ISBLANK('Toma de datos'!B49)),'Toma de datos'!B49*LOOKUP('Información general'!$L$53,'Equipamiento y listas'!$J$36:$J$48,'Equipamiento y listas'!$L$36:$L$48)*LOOKUP("psi",'Equipamiento y listas'!$K$47:$K$61,'Equipamiento y listas'!$L$47:$L$61))</f>
        <v>0</v>
      </c>
      <c r="D143" s="5">
        <f t="shared" si="8"/>
        <v>-0.20194848658088754</v>
      </c>
      <c r="E143" s="5">
        <f>IFERROR(ABS(D143-($M$128+$M$129*C143+$M$130*C143*C143+$M$131*C143*C143*C143)),'Equipamiento y listas'!$I$23)</f>
        <v>1.2830197423224221E-2</v>
      </c>
      <c r="F143" s="1" t="b">
        <f t="shared" si="9"/>
        <v>0</v>
      </c>
      <c r="G143" s="1" t="e">
        <f t="shared" si="7"/>
        <v>#N/A</v>
      </c>
      <c r="I143" s="543"/>
      <c r="J143" s="549"/>
      <c r="K143" s="550"/>
      <c r="L143" s="550"/>
      <c r="M143" s="550"/>
      <c r="N143" s="551"/>
    </row>
    <row r="144" spans="2:14" x14ac:dyDescent="0.25">
      <c r="B144" s="543"/>
      <c r="C144" s="1" t="b">
        <f>IF(NOT(ISBLANK('Toma de datos'!B50)),'Toma de datos'!B50*LOOKUP('Información general'!$L$53,'Equipamiento y listas'!$J$36:$J$48,'Equipamiento y listas'!$L$36:$L$48)*LOOKUP("psi",'Equipamiento y listas'!$K$47:$K$61,'Equipamiento y listas'!$L$47:$L$61))</f>
        <v>0</v>
      </c>
      <c r="D144" s="5">
        <f t="shared" si="8"/>
        <v>-0.20194848658088754</v>
      </c>
      <c r="E144" s="5">
        <f>IFERROR(ABS(D144-($M$128+$M$129*C144+$M$130*C144*C144+$M$131*C144*C144*C144)),'Equipamiento y listas'!$I$23)</f>
        <v>1.2830197423224221E-2</v>
      </c>
      <c r="F144" s="1" t="b">
        <f t="shared" si="9"/>
        <v>0</v>
      </c>
      <c r="G144" s="1" t="e">
        <f t="shared" si="7"/>
        <v>#N/A</v>
      </c>
      <c r="I144" s="543"/>
      <c r="J144" s="549"/>
      <c r="K144" s="550"/>
      <c r="L144" s="550"/>
      <c r="M144" s="550"/>
      <c r="N144" s="551"/>
    </row>
    <row r="145" spans="2:14" x14ac:dyDescent="0.25">
      <c r="B145" s="543"/>
      <c r="C145" s="1" t="b">
        <f>IF(NOT(ISBLANK('Toma de datos'!B51)),'Toma de datos'!B51*LOOKUP('Información general'!$L$53,'Equipamiento y listas'!$J$36:$J$48,'Equipamiento y listas'!$L$36:$L$48)*LOOKUP("psi",'Equipamiento y listas'!$K$47:$K$61,'Equipamiento y listas'!$L$47:$L$61))</f>
        <v>0</v>
      </c>
      <c r="D145" s="5">
        <f t="shared" si="8"/>
        <v>-0.20194848658088754</v>
      </c>
      <c r="E145" s="5">
        <f>IFERROR(ABS(D145-($M$128+$M$129*C145+$M$130*C145*C145+$M$131*C145*C145*C145)),'Equipamiento y listas'!$I$23)</f>
        <v>1.2830197423224221E-2</v>
      </c>
      <c r="F145" s="1" t="b">
        <f t="shared" si="9"/>
        <v>0</v>
      </c>
      <c r="G145" s="1" t="e">
        <f t="shared" si="7"/>
        <v>#N/A</v>
      </c>
      <c r="I145" s="543"/>
      <c r="J145" s="549"/>
      <c r="K145" s="550"/>
      <c r="L145" s="550"/>
      <c r="M145" s="550"/>
      <c r="N145" s="551"/>
    </row>
    <row r="146" spans="2:14" x14ac:dyDescent="0.25">
      <c r="B146" s="543"/>
      <c r="C146" s="1" t="b">
        <f>IF(NOT(ISBLANK('Toma de datos'!B52)),'Toma de datos'!B52*LOOKUP('Información general'!$L$53,'Equipamiento y listas'!$J$36:$J$48,'Equipamiento y listas'!$L$36:$L$48)*LOOKUP("psi",'Equipamiento y listas'!$K$47:$K$61,'Equipamiento y listas'!$L$47:$L$61))</f>
        <v>0</v>
      </c>
      <c r="D146" s="5">
        <f t="shared" si="8"/>
        <v>-0.20194848658088754</v>
      </c>
      <c r="E146" s="5">
        <f>IFERROR(ABS(D146-($M$128+$M$129*C146+$M$130*C146*C146+$M$131*C146*C146*C146)),'Equipamiento y listas'!$I$23)</f>
        <v>1.2830197423224221E-2</v>
      </c>
      <c r="F146" s="1" t="b">
        <f t="shared" si="9"/>
        <v>0</v>
      </c>
      <c r="G146" s="1" t="e">
        <f t="shared" si="7"/>
        <v>#N/A</v>
      </c>
      <c r="I146" s="543"/>
      <c r="J146" s="549"/>
      <c r="K146" s="550"/>
      <c r="L146" s="550"/>
      <c r="M146" s="550"/>
      <c r="N146" s="551"/>
    </row>
    <row r="147" spans="2:14" x14ac:dyDescent="0.25">
      <c r="B147" s="543"/>
      <c r="C147" s="1" t="b">
        <f>IF(NOT(ISBLANK('Toma de datos'!B53)),'Toma de datos'!B53*LOOKUP('Información general'!$L$53,'Equipamiento y listas'!$J$36:$J$48,'Equipamiento y listas'!$L$36:$L$48)*LOOKUP("psi",'Equipamiento y listas'!$K$47:$K$61,'Equipamiento y listas'!$L$47:$L$61))</f>
        <v>0</v>
      </c>
      <c r="D147" s="5">
        <f t="shared" si="8"/>
        <v>-0.20194848658088754</v>
      </c>
      <c r="E147" s="5">
        <f>IFERROR(ABS(D147-($M$128+$M$129*C147+$M$130*C147*C147+$M$131*C147*C147*C147)),'Equipamiento y listas'!$I$23)</f>
        <v>1.2830197423224221E-2</v>
      </c>
      <c r="F147" s="1" t="b">
        <f t="shared" si="9"/>
        <v>0</v>
      </c>
      <c r="G147" s="1" t="e">
        <f t="shared" si="7"/>
        <v>#N/A</v>
      </c>
      <c r="I147" s="543"/>
      <c r="J147" s="549"/>
      <c r="K147" s="550"/>
      <c r="L147" s="550"/>
      <c r="M147" s="550"/>
      <c r="N147" s="551"/>
    </row>
    <row r="148" spans="2:14" x14ac:dyDescent="0.25">
      <c r="B148" s="543"/>
      <c r="C148" s="1" t="b">
        <f>IF(NOT(ISBLANK('Toma de datos'!B54)),'Toma de datos'!B54*LOOKUP('Información general'!$L$53,'Equipamiento y listas'!$J$36:$J$48,'Equipamiento y listas'!$L$36:$L$48)*LOOKUP("psi",'Equipamiento y listas'!$K$47:$K$61,'Equipamiento y listas'!$L$47:$L$61))</f>
        <v>0</v>
      </c>
      <c r="D148" s="5">
        <f t="shared" si="8"/>
        <v>-0.20194848658088754</v>
      </c>
      <c r="E148" s="5">
        <f>IFERROR(ABS(D148-($M$128+$M$129*C148+$M$130*C148*C148+$M$131*C148*C148*C148)),'Equipamiento y listas'!$I$23)</f>
        <v>1.2830197423224221E-2</v>
      </c>
      <c r="F148" s="1" t="b">
        <f t="shared" si="9"/>
        <v>0</v>
      </c>
      <c r="G148" s="1" t="e">
        <f t="shared" si="7"/>
        <v>#N/A</v>
      </c>
      <c r="I148" s="543"/>
      <c r="J148" s="549"/>
      <c r="K148" s="550"/>
      <c r="L148" s="550"/>
      <c r="M148" s="550"/>
      <c r="N148" s="551"/>
    </row>
    <row r="149" spans="2:14" x14ac:dyDescent="0.25">
      <c r="B149" s="543"/>
      <c r="C149" s="1" t="b">
        <f>IF(NOT(ISBLANK('Toma de datos'!B55)),'Toma de datos'!B55*LOOKUP('Información general'!$L$53,'Equipamiento y listas'!$J$36:$J$48,'Equipamiento y listas'!$L$36:$L$48)*LOOKUP("psi",'Equipamiento y listas'!$K$47:$K$61,'Equipamiento y listas'!$L$47:$L$61))</f>
        <v>0</v>
      </c>
      <c r="D149" s="5">
        <f t="shared" si="8"/>
        <v>-0.20194848658088754</v>
      </c>
      <c r="E149" s="5">
        <f>IFERROR(ABS(D149-($M$128+$M$129*C149+$M$130*C149*C149+$M$131*C149*C149*C149)),'Equipamiento y listas'!$I$23)</f>
        <v>1.2830197423224221E-2</v>
      </c>
      <c r="F149" s="1" t="b">
        <f t="shared" si="9"/>
        <v>0</v>
      </c>
      <c r="G149" s="1" t="e">
        <f t="shared" si="7"/>
        <v>#N/A</v>
      </c>
      <c r="I149" s="543"/>
      <c r="J149" s="549"/>
      <c r="K149" s="550"/>
      <c r="L149" s="550"/>
      <c r="M149" s="550"/>
      <c r="N149" s="551"/>
    </row>
    <row r="150" spans="2:14" ht="15.75" thickBot="1" x14ac:dyDescent="0.3">
      <c r="B150" s="544"/>
      <c r="C150" s="27" t="b">
        <f>IF(NOT(ISBLANK('Toma de datos'!B56)),'Toma de datos'!B56*LOOKUP('Información general'!$L$53,'Equipamiento y listas'!$J$36:$J$48,'Equipamiento y listas'!$L$36:$L$48)*LOOKUP("psi",'Equipamiento y listas'!$K$47:$K$61,'Equipamiento y listas'!$L$47:$L$61))</f>
        <v>0</v>
      </c>
      <c r="D150" s="28">
        <f t="shared" si="8"/>
        <v>-0.20194848658088754</v>
      </c>
      <c r="E150" s="28">
        <f>IFERROR(ABS(D150-($M$128+$M$129*C150+$M$130*C150*C150+$M$131*C150*C150*C150)),'Equipamiento y listas'!$I$23)</f>
        <v>1.2830197423224221E-2</v>
      </c>
      <c r="F150" s="27" t="b">
        <f>IF(AND($C$117&lt;=C150,C150&lt;=$C$118),MAX($E$117:$E$118),IF(AND($C$118&lt;=C150,C150&lt;=$C$119),MAX($E$118:$E$119),IF(AND($C$119&lt;=C150,C150&lt;=$C$120),MAX($E$119:$E$120),IF(AND($C$120&lt;=C150,C150&lt;=$C$121),MAX($E$120:$E$121),IF(AND($C$121&lt;=C150,C150&lt;=$C$122),MAX($E$121:$E$122),IF(AND($C$122&lt;=C150,C150&lt;=$C$123),MAX($E$122:$E$123),IF(AND($C$123&lt;=C150,C150&lt;=$C$124),MAX($E$123:$E$124),IF(AND($C$124&lt;=C150,C150&lt;=$C$125),MAX($E$124:$E$125),IF(AND($C$125&lt;=C150,C150&lt;=$C$126),MAX($E$125:$E$126),IF(AND($C$126&lt;=C150,C150&lt;=$C$127),MAX($E$126:$E$127)))))))))))</f>
        <v>0</v>
      </c>
      <c r="G150" s="27" t="e">
        <f t="shared" si="7"/>
        <v>#N/A</v>
      </c>
      <c r="I150" s="544"/>
      <c r="J150" s="552"/>
      <c r="K150" s="553"/>
      <c r="L150" s="553"/>
      <c r="M150" s="553"/>
      <c r="N150" s="554"/>
    </row>
    <row r="151" spans="2:14" ht="14.45" customHeight="1" x14ac:dyDescent="0.25">
      <c r="B151" s="542" t="s">
        <v>260</v>
      </c>
      <c r="C151" s="31" t="b">
        <f>IF(NOT(ISBLANK('Toma de datos'!D47)),'Toma de datos'!D47*LOOKUP('Información general'!$L$53,'Equipamiento y listas'!$J$36:$J$48,'Equipamiento y listas'!$L$36:$L$48)*LOOKUP("psi",'Equipamiento y listas'!$K$47:$K$61,'Equipamiento y listas'!$L$47:$L$61))</f>
        <v>0</v>
      </c>
      <c r="D151" s="32">
        <f t="shared" si="8"/>
        <v>-0.20194848658088754</v>
      </c>
      <c r="E151" s="32">
        <f>IFERROR(ABS(D151-($M$128+$M$129*C151+$M$130*C151*C151+$M$131*C151*C151*C151)),'Equipamiento y listas'!$I$23)</f>
        <v>1.2830197423224221E-2</v>
      </c>
      <c r="F151" s="31" t="b">
        <f t="shared" si="9"/>
        <v>0</v>
      </c>
      <c r="G151" s="31" t="e">
        <f t="shared" si="7"/>
        <v>#N/A</v>
      </c>
      <c r="I151" s="542" t="s">
        <v>260</v>
      </c>
      <c r="J151" s="546"/>
      <c r="K151" s="547"/>
      <c r="L151" s="547"/>
      <c r="M151" s="547"/>
      <c r="N151" s="548"/>
    </row>
    <row r="152" spans="2:14" x14ac:dyDescent="0.25">
      <c r="B152" s="543"/>
      <c r="C152" s="1" t="b">
        <f>IF(NOT(ISBLANK('Toma de datos'!D48)),'Toma de datos'!D48*LOOKUP('Información general'!$L$53,'Equipamiento y listas'!$J$36:$J$48,'Equipamiento y listas'!$L$36:$L$48)*LOOKUP("psi",'Equipamiento y listas'!$K$47:$K$61,'Equipamiento y listas'!$L$47:$L$61))</f>
        <v>0</v>
      </c>
      <c r="D152" s="5">
        <f t="shared" si="8"/>
        <v>-0.20194848658088754</v>
      </c>
      <c r="E152" s="5">
        <f>IFERROR(ABS(D152-($M$128+$M$129*C152+$M$130*C152*C152+$M$131*C152*C152*C152)),'Equipamiento y listas'!$I$23)</f>
        <v>1.2830197423224221E-2</v>
      </c>
      <c r="F152" s="1" t="b">
        <f t="shared" si="9"/>
        <v>0</v>
      </c>
      <c r="G152" s="1" t="e">
        <f t="shared" si="7"/>
        <v>#N/A</v>
      </c>
      <c r="I152" s="543"/>
      <c r="J152" s="549"/>
      <c r="K152" s="550"/>
      <c r="L152" s="550"/>
      <c r="M152" s="550"/>
      <c r="N152" s="551"/>
    </row>
    <row r="153" spans="2:14" x14ac:dyDescent="0.25">
      <c r="B153" s="543"/>
      <c r="C153" s="1" t="b">
        <f>IF(NOT(ISBLANK('Toma de datos'!D49)),'Toma de datos'!D49*LOOKUP('Información general'!$L$53,'Equipamiento y listas'!$J$36:$J$48,'Equipamiento y listas'!$L$36:$L$48)*LOOKUP("psi",'Equipamiento y listas'!$K$47:$K$61,'Equipamiento y listas'!$L$47:$L$61))</f>
        <v>0</v>
      </c>
      <c r="D153" s="5">
        <f t="shared" si="8"/>
        <v>-0.20194848658088754</v>
      </c>
      <c r="E153" s="5">
        <f>IFERROR(ABS(D153-($M$128+$M$129*C153+$M$130*C153*C153+$M$131*C153*C153*C153)),'Equipamiento y listas'!$I$23)</f>
        <v>1.2830197423224221E-2</v>
      </c>
      <c r="F153" s="1" t="b">
        <f t="shared" si="9"/>
        <v>0</v>
      </c>
      <c r="G153" s="1" t="e">
        <f t="shared" si="7"/>
        <v>#N/A</v>
      </c>
      <c r="I153" s="543"/>
      <c r="J153" s="549"/>
      <c r="K153" s="550"/>
      <c r="L153" s="550"/>
      <c r="M153" s="550"/>
      <c r="N153" s="551"/>
    </row>
    <row r="154" spans="2:14" x14ac:dyDescent="0.25">
      <c r="B154" s="543"/>
      <c r="C154" s="1" t="b">
        <f>IF(NOT(ISBLANK('Toma de datos'!D50)),'Toma de datos'!D50*LOOKUP('Información general'!$L$53,'Equipamiento y listas'!$J$36:$J$48,'Equipamiento y listas'!$L$36:$L$48)*LOOKUP("psi",'Equipamiento y listas'!$K$47:$K$61,'Equipamiento y listas'!$L$47:$L$61))</f>
        <v>0</v>
      </c>
      <c r="D154" s="5">
        <f t="shared" si="8"/>
        <v>-0.20194848658088754</v>
      </c>
      <c r="E154" s="5">
        <f>IFERROR(ABS(D154-($M$128+$M$129*C154+$M$130*C154*C154+$M$131*C154*C154*C154)),'Equipamiento y listas'!$I$23)</f>
        <v>1.2830197423224221E-2</v>
      </c>
      <c r="F154" s="1" t="b">
        <f t="shared" si="9"/>
        <v>0</v>
      </c>
      <c r="G154" s="1" t="e">
        <f t="shared" si="7"/>
        <v>#N/A</v>
      </c>
      <c r="I154" s="543"/>
      <c r="J154" s="549"/>
      <c r="K154" s="550"/>
      <c r="L154" s="550"/>
      <c r="M154" s="550"/>
      <c r="N154" s="551"/>
    </row>
    <row r="155" spans="2:14" x14ac:dyDescent="0.25">
      <c r="B155" s="543"/>
      <c r="C155" s="1" t="b">
        <f>IF(NOT(ISBLANK('Toma de datos'!D51)),'Toma de datos'!D51*LOOKUP('Información general'!$L$53,'Equipamiento y listas'!$J$36:$J$48,'Equipamiento y listas'!$L$36:$L$48)*LOOKUP("psi",'Equipamiento y listas'!$K$47:$K$61,'Equipamiento y listas'!$L$47:$L$61))</f>
        <v>0</v>
      </c>
      <c r="D155" s="5">
        <f t="shared" si="8"/>
        <v>-0.20194848658088754</v>
      </c>
      <c r="E155" s="5">
        <f>IFERROR(ABS(D155-($M$128+$M$129*C155+$M$130*C155*C155+$M$131*C155*C155*C155)),'Equipamiento y listas'!$I$23)</f>
        <v>1.2830197423224221E-2</v>
      </c>
      <c r="F155" s="1" t="b">
        <f t="shared" si="9"/>
        <v>0</v>
      </c>
      <c r="G155" s="1" t="e">
        <f t="shared" si="7"/>
        <v>#N/A</v>
      </c>
      <c r="I155" s="543"/>
      <c r="J155" s="549"/>
      <c r="K155" s="550"/>
      <c r="L155" s="550"/>
      <c r="M155" s="550"/>
      <c r="N155" s="551"/>
    </row>
    <row r="156" spans="2:14" x14ac:dyDescent="0.25">
      <c r="B156" s="543"/>
      <c r="C156" s="1" t="b">
        <f>IF(NOT(ISBLANK('Toma de datos'!D52)),'Toma de datos'!D52*LOOKUP('Información general'!$L$53,'Equipamiento y listas'!$J$36:$J$48,'Equipamiento y listas'!$L$36:$L$48)*LOOKUP("psi",'Equipamiento y listas'!$K$47:$K$61,'Equipamiento y listas'!$L$47:$L$61))</f>
        <v>0</v>
      </c>
      <c r="D156" s="5">
        <f t="shared" si="8"/>
        <v>-0.20194848658088754</v>
      </c>
      <c r="E156" s="5">
        <f>IFERROR(ABS(D156-($M$128+$M$129*C156+$M$130*C156*C156+$M$131*C156*C156*C156)),'Equipamiento y listas'!$I$23)</f>
        <v>1.2830197423224221E-2</v>
      </c>
      <c r="F156" s="1" t="b">
        <f t="shared" si="9"/>
        <v>0</v>
      </c>
      <c r="G156" s="1" t="e">
        <f t="shared" si="7"/>
        <v>#N/A</v>
      </c>
      <c r="I156" s="543"/>
      <c r="J156" s="549"/>
      <c r="K156" s="550"/>
      <c r="L156" s="550"/>
      <c r="M156" s="550"/>
      <c r="N156" s="551"/>
    </row>
    <row r="157" spans="2:14" x14ac:dyDescent="0.25">
      <c r="B157" s="543"/>
      <c r="C157" s="1" t="b">
        <f>IF(NOT(ISBLANK('Toma de datos'!D53)),'Toma de datos'!D53*LOOKUP('Información general'!$L$53,'Equipamiento y listas'!$J$36:$J$48,'Equipamiento y listas'!$L$36:$L$48)*LOOKUP("psi",'Equipamiento y listas'!$K$47:$K$61,'Equipamiento y listas'!$L$47:$L$61))</f>
        <v>0</v>
      </c>
      <c r="D157" s="5">
        <f t="shared" si="8"/>
        <v>-0.20194848658088754</v>
      </c>
      <c r="E157" s="5">
        <f>IFERROR(ABS(D157-($M$128+$M$129*C157+$M$130*C157*C157+$M$131*C157*C157*C157)),'Equipamiento y listas'!$I$23)</f>
        <v>1.2830197423224221E-2</v>
      </c>
      <c r="F157" s="1" t="b">
        <f t="shared" si="9"/>
        <v>0</v>
      </c>
      <c r="G157" s="1" t="e">
        <f t="shared" si="7"/>
        <v>#N/A</v>
      </c>
      <c r="I157" s="543"/>
      <c r="J157" s="549"/>
      <c r="K157" s="550"/>
      <c r="L157" s="550"/>
      <c r="M157" s="550"/>
      <c r="N157" s="551"/>
    </row>
    <row r="158" spans="2:14" x14ac:dyDescent="0.25">
      <c r="B158" s="543"/>
      <c r="C158" s="1" t="b">
        <f>IF(NOT(ISBLANK('Toma de datos'!D54)),'Toma de datos'!D54*LOOKUP('Información general'!$L$53,'Equipamiento y listas'!$J$36:$J$48,'Equipamiento y listas'!$L$36:$L$48)*LOOKUP("psi",'Equipamiento y listas'!$K$47:$K$61,'Equipamiento y listas'!$L$47:$L$61))</f>
        <v>0</v>
      </c>
      <c r="D158" s="5">
        <f t="shared" si="8"/>
        <v>-0.20194848658088754</v>
      </c>
      <c r="E158" s="5">
        <f>IFERROR(ABS(D158-($M$128+$M$129*C158+$M$130*C158*C158+$M$131*C158*C158*C158)),'Equipamiento y listas'!$I$23)</f>
        <v>1.2830197423224221E-2</v>
      </c>
      <c r="F158" s="1" t="b">
        <f t="shared" si="9"/>
        <v>0</v>
      </c>
      <c r="G158" s="1" t="e">
        <f t="shared" si="7"/>
        <v>#N/A</v>
      </c>
      <c r="I158" s="543"/>
      <c r="J158" s="549"/>
      <c r="K158" s="550"/>
      <c r="L158" s="550"/>
      <c r="M158" s="550"/>
      <c r="N158" s="551"/>
    </row>
    <row r="159" spans="2:14" x14ac:dyDescent="0.25">
      <c r="B159" s="543"/>
      <c r="C159" s="1" t="b">
        <f>IF(NOT(ISBLANK('Toma de datos'!D55)),'Toma de datos'!D55*LOOKUP('Información general'!$L$53,'Equipamiento y listas'!$J$36:$J$48,'Equipamiento y listas'!$L$36:$L$48)*LOOKUP("psi",'Equipamiento y listas'!$K$47:$K$61,'Equipamiento y listas'!$L$47:$L$61))</f>
        <v>0</v>
      </c>
      <c r="D159" s="5">
        <f t="shared" si="8"/>
        <v>-0.20194848658088754</v>
      </c>
      <c r="E159" s="5">
        <f>IFERROR(ABS(D159-($M$128+$M$129*C159+$M$130*C159*C159+$M$131*C159*C159*C159)),'Equipamiento y listas'!$I$23)</f>
        <v>1.2830197423224221E-2</v>
      </c>
      <c r="F159" s="1" t="b">
        <f t="shared" si="9"/>
        <v>0</v>
      </c>
      <c r="G159" s="1" t="e">
        <f t="shared" si="7"/>
        <v>#N/A</v>
      </c>
      <c r="I159" s="543"/>
      <c r="J159" s="549"/>
      <c r="K159" s="550"/>
      <c r="L159" s="550"/>
      <c r="M159" s="550"/>
      <c r="N159" s="551"/>
    </row>
    <row r="160" spans="2:14" ht="15.75" thickBot="1" x14ac:dyDescent="0.3">
      <c r="B160" s="544"/>
      <c r="C160" s="33" t="b">
        <f>IF(NOT(ISBLANK('Toma de datos'!D56)),'Toma de datos'!D56*LOOKUP('Información general'!$L$53,'Equipamiento y listas'!$J$36:$J$48,'Equipamiento y listas'!$L$36:$L$48)*LOOKUP("psi",'Equipamiento y listas'!$K$47:$K$61,'Equipamiento y listas'!$L$47:$L$61))</f>
        <v>0</v>
      </c>
      <c r="D160" s="34">
        <f t="shared" si="8"/>
        <v>-0.20194848658088754</v>
      </c>
      <c r="E160" s="34">
        <f>IFERROR(ABS(D160-($M$128+$M$129*C160+$M$130*C160*C160+$M$131*C160*C160*C160)),'Equipamiento y listas'!$I$23)</f>
        <v>1.2830197423224221E-2</v>
      </c>
      <c r="F160" s="33" t="b">
        <f t="shared" si="9"/>
        <v>0</v>
      </c>
      <c r="G160" s="33" t="e">
        <f t="shared" si="7"/>
        <v>#N/A</v>
      </c>
      <c r="I160" s="544"/>
      <c r="J160" s="552"/>
      <c r="K160" s="553"/>
      <c r="L160" s="553"/>
      <c r="M160" s="553"/>
      <c r="N160" s="554"/>
    </row>
    <row r="161" spans="2:14" ht="14.45" customHeight="1" x14ac:dyDescent="0.25">
      <c r="B161" s="542" t="s">
        <v>265</v>
      </c>
      <c r="C161" s="31" t="b">
        <f>IF(NOT(ISBLANK('Toma de datos'!F47)),'Toma de datos'!F47*LOOKUP('Información general'!$L$53,'Equipamiento y listas'!$J$36:$J$48,'Equipamiento y listas'!$L$36:$L$48)*LOOKUP("psi",'Equipamiento y listas'!$K$47:$K$61,'Equipamiento y listas'!$L$47:$L$61))</f>
        <v>0</v>
      </c>
      <c r="D161" s="32">
        <f t="shared" si="8"/>
        <v>-0.20194848658088754</v>
      </c>
      <c r="E161" s="32">
        <f>IFERROR(ABS(D161-($M$128+$M$129*C161+$M$130*C161*C161+$M$131*C161*C161*C161)),'Equipamiento y listas'!$I$23)</f>
        <v>1.2830197423224221E-2</v>
      </c>
      <c r="F161" s="31" t="b">
        <f t="shared" si="9"/>
        <v>0</v>
      </c>
      <c r="G161" s="31" t="e">
        <f t="shared" si="7"/>
        <v>#N/A</v>
      </c>
      <c r="I161" s="542" t="s">
        <v>265</v>
      </c>
      <c r="J161" s="546"/>
      <c r="K161" s="547"/>
      <c r="L161" s="547"/>
      <c r="M161" s="547"/>
      <c r="N161" s="548"/>
    </row>
    <row r="162" spans="2:14" x14ac:dyDescent="0.25">
      <c r="B162" s="543"/>
      <c r="C162" s="1" t="b">
        <f>IF(NOT(ISBLANK('Toma de datos'!F48)),'Toma de datos'!F48*LOOKUP('Información general'!$L$53,'Equipamiento y listas'!$J$36:$J$48,'Equipamiento y listas'!$L$36:$L$48)*LOOKUP("psi",'Equipamiento y listas'!$K$47:$K$61,'Equipamiento y listas'!$L$47:$L$61))</f>
        <v>0</v>
      </c>
      <c r="D162" s="5">
        <f t="shared" si="8"/>
        <v>-0.20194848658088754</v>
      </c>
      <c r="E162" s="5">
        <f>IFERROR(ABS(D162-($M$128+$M$129*C162+$M$130*C162*C162+$M$131*C162*C162*C162)),'Equipamiento y listas'!$I$23)</f>
        <v>1.2830197423224221E-2</v>
      </c>
      <c r="F162" s="1" t="b">
        <f t="shared" si="9"/>
        <v>0</v>
      </c>
      <c r="G162" s="1" t="e">
        <f t="shared" si="7"/>
        <v>#N/A</v>
      </c>
      <c r="I162" s="543"/>
      <c r="J162" s="549"/>
      <c r="K162" s="550"/>
      <c r="L162" s="550"/>
      <c r="M162" s="550"/>
      <c r="N162" s="551"/>
    </row>
    <row r="163" spans="2:14" x14ac:dyDescent="0.25">
      <c r="B163" s="543"/>
      <c r="C163" s="1" t="b">
        <f>IF(NOT(ISBLANK('Toma de datos'!F49)),'Toma de datos'!F49*LOOKUP('Información general'!$L$53,'Equipamiento y listas'!$J$36:$J$48,'Equipamiento y listas'!$L$36:$L$48)*LOOKUP("psi",'Equipamiento y listas'!$K$47:$K$61,'Equipamiento y listas'!$L$47:$L$61))</f>
        <v>0</v>
      </c>
      <c r="D163" s="5">
        <f t="shared" si="8"/>
        <v>-0.20194848658088754</v>
      </c>
      <c r="E163" s="5">
        <f>IFERROR(ABS(D163-($M$128+$M$129*C163+$M$130*C163*C163+$M$131*C163*C163*C163)),'Equipamiento y listas'!$I$23)</f>
        <v>1.2830197423224221E-2</v>
      </c>
      <c r="F163" s="1" t="b">
        <f t="shared" si="9"/>
        <v>0</v>
      </c>
      <c r="G163" s="1" t="e">
        <f t="shared" si="7"/>
        <v>#N/A</v>
      </c>
      <c r="I163" s="543"/>
      <c r="J163" s="549"/>
      <c r="K163" s="550"/>
      <c r="L163" s="550"/>
      <c r="M163" s="550"/>
      <c r="N163" s="551"/>
    </row>
    <row r="164" spans="2:14" x14ac:dyDescent="0.25">
      <c r="B164" s="543"/>
      <c r="C164" s="1" t="b">
        <f>IF(NOT(ISBLANK('Toma de datos'!F50)),'Toma de datos'!F50*LOOKUP('Información general'!$L$53,'Equipamiento y listas'!$J$36:$J$48,'Equipamiento y listas'!$L$36:$L$48)*LOOKUP("psi",'Equipamiento y listas'!$K$47:$K$61,'Equipamiento y listas'!$L$47:$L$61))</f>
        <v>0</v>
      </c>
      <c r="D164" s="5">
        <f t="shared" si="8"/>
        <v>-0.20194848658088754</v>
      </c>
      <c r="E164" s="5">
        <f>IFERROR(ABS(D164-($M$128+$M$129*C164+$M$130*C164*C164+$M$131*C164*C164*C164)),'Equipamiento y listas'!$I$23)</f>
        <v>1.2830197423224221E-2</v>
      </c>
      <c r="F164" s="1" t="b">
        <f t="shared" si="9"/>
        <v>0</v>
      </c>
      <c r="G164" s="1" t="e">
        <f t="shared" si="7"/>
        <v>#N/A</v>
      </c>
      <c r="I164" s="543"/>
      <c r="J164" s="549"/>
      <c r="K164" s="550"/>
      <c r="L164" s="550"/>
      <c r="M164" s="550"/>
      <c r="N164" s="551"/>
    </row>
    <row r="165" spans="2:14" x14ac:dyDescent="0.25">
      <c r="B165" s="543"/>
      <c r="C165" s="1" t="b">
        <f>IF(NOT(ISBLANK('Toma de datos'!F51)),'Toma de datos'!F51*LOOKUP('Información general'!$L$53,'Equipamiento y listas'!$J$36:$J$48,'Equipamiento y listas'!$L$36:$L$48)*LOOKUP("psi",'Equipamiento y listas'!$K$47:$K$61,'Equipamiento y listas'!$L$47:$L$61))</f>
        <v>0</v>
      </c>
      <c r="D165" s="5">
        <f t="shared" si="8"/>
        <v>-0.20194848658088754</v>
      </c>
      <c r="E165" s="5">
        <f>IFERROR(ABS(D165-($M$128+$M$129*C165+$M$130*C165*C165+$M$131*C165*C165*C165)),'Equipamiento y listas'!$I$23)</f>
        <v>1.2830197423224221E-2</v>
      </c>
      <c r="F165" s="1" t="b">
        <f t="shared" si="9"/>
        <v>0</v>
      </c>
      <c r="G165" s="1" t="e">
        <f t="shared" si="7"/>
        <v>#N/A</v>
      </c>
      <c r="I165" s="543"/>
      <c r="J165" s="549"/>
      <c r="K165" s="550"/>
      <c r="L165" s="550"/>
      <c r="M165" s="550"/>
      <c r="N165" s="551"/>
    </row>
    <row r="166" spans="2:14" x14ac:dyDescent="0.25">
      <c r="B166" s="543"/>
      <c r="C166" s="1" t="b">
        <f>IF(NOT(ISBLANK('Toma de datos'!F52)),'Toma de datos'!F52*LOOKUP('Información general'!$L$53,'Equipamiento y listas'!$J$36:$J$48,'Equipamiento y listas'!$L$36:$L$48)*LOOKUP("psi",'Equipamiento y listas'!$K$47:$K$61,'Equipamiento y listas'!$L$47:$L$61))</f>
        <v>0</v>
      </c>
      <c r="D166" s="5">
        <f t="shared" si="8"/>
        <v>-0.20194848658088754</v>
      </c>
      <c r="E166" s="5">
        <f>IFERROR(ABS(D166-($M$128+$M$129*C166+$M$130*C166*C166+$M$131*C166*C166*C166)),'Equipamiento y listas'!$I$23)</f>
        <v>1.2830197423224221E-2</v>
      </c>
      <c r="F166" s="1" t="b">
        <f t="shared" si="9"/>
        <v>0</v>
      </c>
      <c r="G166" s="1" t="e">
        <f t="shared" si="7"/>
        <v>#N/A</v>
      </c>
      <c r="I166" s="543"/>
      <c r="J166" s="549"/>
      <c r="K166" s="550"/>
      <c r="L166" s="550"/>
      <c r="M166" s="550"/>
      <c r="N166" s="551"/>
    </row>
    <row r="167" spans="2:14" x14ac:dyDescent="0.25">
      <c r="B167" s="543"/>
      <c r="C167" s="1" t="b">
        <f>IF(NOT(ISBLANK('Toma de datos'!F53)),'Toma de datos'!F53*LOOKUP('Información general'!$L$53,'Equipamiento y listas'!$J$36:$J$48,'Equipamiento y listas'!$L$36:$L$48)*LOOKUP("psi",'Equipamiento y listas'!$K$47:$K$61,'Equipamiento y listas'!$L$47:$L$61))</f>
        <v>0</v>
      </c>
      <c r="D167" s="5">
        <f t="shared" si="8"/>
        <v>-0.20194848658088754</v>
      </c>
      <c r="E167" s="5">
        <f>IFERROR(ABS(D167-($M$128+$M$129*C167+$M$130*C167*C167+$M$131*C167*C167*C167)),'Equipamiento y listas'!$I$23)</f>
        <v>1.2830197423224221E-2</v>
      </c>
      <c r="F167" s="1" t="b">
        <f t="shared" si="9"/>
        <v>0</v>
      </c>
      <c r="G167" s="1" t="e">
        <f t="shared" si="7"/>
        <v>#N/A</v>
      </c>
      <c r="I167" s="543"/>
      <c r="J167" s="549"/>
      <c r="K167" s="550"/>
      <c r="L167" s="550"/>
      <c r="M167" s="550"/>
      <c r="N167" s="551"/>
    </row>
    <row r="168" spans="2:14" x14ac:dyDescent="0.25">
      <c r="B168" s="543"/>
      <c r="C168" s="1" t="b">
        <f>IF(NOT(ISBLANK('Toma de datos'!F54)),'Toma de datos'!F54*LOOKUP('Información general'!$L$53,'Equipamiento y listas'!$J$36:$J$48,'Equipamiento y listas'!$L$36:$L$48)*LOOKUP("psi",'Equipamiento y listas'!$K$47:$K$61,'Equipamiento y listas'!$L$47:$L$61))</f>
        <v>0</v>
      </c>
      <c r="D168" s="5">
        <f t="shared" si="8"/>
        <v>-0.20194848658088754</v>
      </c>
      <c r="E168" s="5">
        <f>IFERROR(ABS(D168-($M$128+$M$129*C168+$M$130*C168*C168+$M$131*C168*C168*C168)),'Equipamiento y listas'!$I$23)</f>
        <v>1.2830197423224221E-2</v>
      </c>
      <c r="F168" s="1" t="b">
        <f t="shared" si="9"/>
        <v>0</v>
      </c>
      <c r="G168" s="1" t="e">
        <f t="shared" si="7"/>
        <v>#N/A</v>
      </c>
      <c r="I168" s="543"/>
      <c r="J168" s="549"/>
      <c r="K168" s="550"/>
      <c r="L168" s="550"/>
      <c r="M168" s="550"/>
      <c r="N168" s="551"/>
    </row>
    <row r="169" spans="2:14" x14ac:dyDescent="0.25">
      <c r="B169" s="543"/>
      <c r="C169" s="1" t="b">
        <f>IF(NOT(ISBLANK('Toma de datos'!F55)),'Toma de datos'!F55*LOOKUP('Información general'!$L$53,'Equipamiento y listas'!$J$36:$J$48,'Equipamiento y listas'!$L$36:$L$48)*LOOKUP("psi",'Equipamiento y listas'!$K$47:$K$61,'Equipamiento y listas'!$L$47:$L$61))</f>
        <v>0</v>
      </c>
      <c r="D169" s="5">
        <f t="shared" si="8"/>
        <v>-0.20194848658088754</v>
      </c>
      <c r="E169" s="5">
        <f>IFERROR(ABS(D169-($M$128+$M$129*C169+$M$130*C169*C169+$M$131*C169*C169*C169)),'Equipamiento y listas'!$I$23)</f>
        <v>1.2830197423224221E-2</v>
      </c>
      <c r="F169" s="1" t="b">
        <f t="shared" si="9"/>
        <v>0</v>
      </c>
      <c r="G169" s="1" t="e">
        <f t="shared" si="7"/>
        <v>#N/A</v>
      </c>
      <c r="I169" s="543"/>
      <c r="J169" s="549"/>
      <c r="K169" s="550"/>
      <c r="L169" s="550"/>
      <c r="M169" s="550"/>
      <c r="N169" s="551"/>
    </row>
    <row r="170" spans="2:14" ht="15.75" thickBot="1" x14ac:dyDescent="0.3">
      <c r="B170" s="544"/>
      <c r="C170" s="33" t="b">
        <f>IF(NOT(ISBLANK('Toma de datos'!F56)),'Toma de datos'!F56*LOOKUP('Información general'!$L$53,'Equipamiento y listas'!$J$36:$J$48,'Equipamiento y listas'!$L$36:$L$48)*LOOKUP("psi",'Equipamiento y listas'!$K$47:$K$61,'Equipamiento y listas'!$L$47:$L$61))</f>
        <v>0</v>
      </c>
      <c r="D170" s="34">
        <f t="shared" si="8"/>
        <v>-0.20194848658088754</v>
      </c>
      <c r="E170" s="34">
        <f>IFERROR(ABS(D170-($M$128+$M$129*C170+$M$130*C170*C170+$M$131*C170*C170*C170)),'Equipamiento y listas'!$I$23)</f>
        <v>1.2830197423224221E-2</v>
      </c>
      <c r="F170" s="33" t="b">
        <f t="shared" si="9"/>
        <v>0</v>
      </c>
      <c r="G170" s="33" t="e">
        <f t="shared" si="7"/>
        <v>#N/A</v>
      </c>
      <c r="I170" s="544"/>
      <c r="J170" s="552"/>
      <c r="K170" s="553"/>
      <c r="L170" s="553"/>
      <c r="M170" s="553"/>
      <c r="N170" s="554"/>
    </row>
    <row r="171" spans="2:14" ht="14.45" customHeight="1" x14ac:dyDescent="0.25">
      <c r="B171" s="542" t="s">
        <v>262</v>
      </c>
      <c r="C171" s="29" t="b">
        <f>IF(NOT(ISBLANK('Toma de datos'!H47)),'Toma de datos'!H47*LOOKUP('Información general'!$L$53,'Equipamiento y listas'!$J$36:$J$48,'Equipamiento y listas'!$L$36:$L$48)*LOOKUP("psi",'Equipamiento y listas'!$K$47:$K$61,'Equipamiento y listas'!$L$47:$L$61))</f>
        <v>0</v>
      </c>
      <c r="D171" s="30">
        <f t="shared" si="8"/>
        <v>-0.20194848658088754</v>
      </c>
      <c r="E171" s="30">
        <f>IFERROR(ABS(D171-($M$128+$M$129*C171+$M$130*C171*C171+$M$131*C171*C171*C171)),'Equipamiento y listas'!$I$23)</f>
        <v>1.2830197423224221E-2</v>
      </c>
      <c r="F171" s="29" t="b">
        <f t="shared" si="9"/>
        <v>0</v>
      </c>
      <c r="G171" s="29" t="e">
        <f t="shared" si="7"/>
        <v>#N/A</v>
      </c>
      <c r="I171" s="542" t="s">
        <v>262</v>
      </c>
      <c r="J171" s="546"/>
      <c r="K171" s="547"/>
      <c r="L171" s="547"/>
      <c r="M171" s="547"/>
      <c r="N171" s="548"/>
    </row>
    <row r="172" spans="2:14" x14ac:dyDescent="0.25">
      <c r="B172" s="543"/>
      <c r="C172" s="29" t="b">
        <f>IF(NOT(ISBLANK('Toma de datos'!H48)),'Toma de datos'!H48*LOOKUP('Información general'!$L$53,'Equipamiento y listas'!$J$36:$J$48,'Equipamiento y listas'!$L$36:$L$48)*LOOKUP("psi",'Equipamiento y listas'!$K$47:$K$61,'Equipamiento y listas'!$L$47:$L$61))</f>
        <v>0</v>
      </c>
      <c r="D172" s="5">
        <f t="shared" si="8"/>
        <v>-0.20194848658088754</v>
      </c>
      <c r="E172" s="5">
        <f>IFERROR(ABS(D172-($M$128+$M$129*C172+$M$130*C172*C172+$M$131*C172*C172*C172)),'Equipamiento y listas'!$I$23)</f>
        <v>1.2830197423224221E-2</v>
      </c>
      <c r="F172" s="1" t="b">
        <f t="shared" si="9"/>
        <v>0</v>
      </c>
      <c r="G172" s="1" t="e">
        <f t="shared" si="7"/>
        <v>#N/A</v>
      </c>
      <c r="I172" s="543"/>
      <c r="J172" s="549"/>
      <c r="K172" s="550"/>
      <c r="L172" s="550"/>
      <c r="M172" s="550"/>
      <c r="N172" s="551"/>
    </row>
    <row r="173" spans="2:14" x14ac:dyDescent="0.25">
      <c r="B173" s="543"/>
      <c r="C173" s="29" t="b">
        <f>IF(NOT(ISBLANK('Toma de datos'!H49)),'Toma de datos'!H49*LOOKUP('Información general'!$L$53,'Equipamiento y listas'!$J$36:$J$48,'Equipamiento y listas'!$L$36:$L$48)*LOOKUP("psi",'Equipamiento y listas'!$K$47:$K$61,'Equipamiento y listas'!$L$47:$L$61))</f>
        <v>0</v>
      </c>
      <c r="D173" s="5">
        <f t="shared" si="8"/>
        <v>-0.20194848658088754</v>
      </c>
      <c r="E173" s="5">
        <f>IFERROR(ABS(D173-($M$128+$M$129*C173+$M$130*C173*C173+$M$131*C173*C173*C173)),'Equipamiento y listas'!$I$23)</f>
        <v>1.2830197423224221E-2</v>
      </c>
      <c r="F173" s="1" t="b">
        <f t="shared" si="9"/>
        <v>0</v>
      </c>
      <c r="G173" s="1" t="e">
        <f t="shared" si="7"/>
        <v>#N/A</v>
      </c>
      <c r="I173" s="543"/>
      <c r="J173" s="549"/>
      <c r="K173" s="550"/>
      <c r="L173" s="550"/>
      <c r="M173" s="550"/>
      <c r="N173" s="551"/>
    </row>
    <row r="174" spans="2:14" x14ac:dyDescent="0.25">
      <c r="B174" s="543"/>
      <c r="C174" s="29" t="b">
        <f>IF(NOT(ISBLANK('Toma de datos'!H50)),'Toma de datos'!H50*LOOKUP('Información general'!$L$53,'Equipamiento y listas'!$J$36:$J$48,'Equipamiento y listas'!$L$36:$L$48)*LOOKUP("psi",'Equipamiento y listas'!$K$47:$K$61,'Equipamiento y listas'!$L$47:$L$61))</f>
        <v>0</v>
      </c>
      <c r="D174" s="5">
        <f t="shared" si="8"/>
        <v>-0.20194848658088754</v>
      </c>
      <c r="E174" s="5">
        <f>IFERROR(ABS(D174-($M$128+$M$129*C174+$M$130*C174*C174+$M$131*C174*C174*C174)),'Equipamiento y listas'!$I$23)</f>
        <v>1.2830197423224221E-2</v>
      </c>
      <c r="F174" s="1" t="b">
        <f t="shared" si="9"/>
        <v>0</v>
      </c>
      <c r="G174" s="1" t="e">
        <f t="shared" si="7"/>
        <v>#N/A</v>
      </c>
      <c r="I174" s="543"/>
      <c r="J174" s="549"/>
      <c r="K174" s="550"/>
      <c r="L174" s="550"/>
      <c r="M174" s="550"/>
      <c r="N174" s="551"/>
    </row>
    <row r="175" spans="2:14" x14ac:dyDescent="0.25">
      <c r="B175" s="543"/>
      <c r="C175" s="29" t="b">
        <f>IF(NOT(ISBLANK('Toma de datos'!H51)),'Toma de datos'!H51*LOOKUP('Información general'!$L$53,'Equipamiento y listas'!$J$36:$J$48,'Equipamiento y listas'!$L$36:$L$48)*LOOKUP("psi",'Equipamiento y listas'!$K$47:$K$61,'Equipamiento y listas'!$L$47:$L$61))</f>
        <v>0</v>
      </c>
      <c r="D175" s="5">
        <f t="shared" si="8"/>
        <v>-0.20194848658088754</v>
      </c>
      <c r="E175" s="5">
        <f>IFERROR(ABS(D175-($M$128+$M$129*C175+$M$130*C175*C175+$M$131*C175*C175*C175)),'Equipamiento y listas'!$I$23)</f>
        <v>1.2830197423224221E-2</v>
      </c>
      <c r="F175" s="1" t="b">
        <f t="shared" si="9"/>
        <v>0</v>
      </c>
      <c r="G175" s="1" t="e">
        <f t="shared" si="7"/>
        <v>#N/A</v>
      </c>
      <c r="I175" s="543"/>
      <c r="J175" s="549"/>
      <c r="K175" s="550"/>
      <c r="L175" s="550"/>
      <c r="M175" s="550"/>
      <c r="N175" s="551"/>
    </row>
    <row r="176" spans="2:14" x14ac:dyDescent="0.25">
      <c r="B176" s="543"/>
      <c r="C176" s="29" t="b">
        <f>IF(NOT(ISBLANK('Toma de datos'!H52)),'Toma de datos'!H52*LOOKUP('Información general'!$L$53,'Equipamiento y listas'!$J$36:$J$48,'Equipamiento y listas'!$L$36:$L$48)*LOOKUP("psi",'Equipamiento y listas'!$K$47:$K$61,'Equipamiento y listas'!$L$47:$L$61))</f>
        <v>0</v>
      </c>
      <c r="D176" s="5">
        <f t="shared" si="8"/>
        <v>-0.20194848658088754</v>
      </c>
      <c r="E176" s="5">
        <f>IFERROR(ABS(D176-($M$128+$M$129*C176+$M$130*C176*C176+$M$131*C176*C176*C176)),'Equipamiento y listas'!$I$23)</f>
        <v>1.2830197423224221E-2</v>
      </c>
      <c r="F176" s="1" t="b">
        <f t="shared" si="9"/>
        <v>0</v>
      </c>
      <c r="G176" s="1" t="e">
        <f t="shared" si="7"/>
        <v>#N/A</v>
      </c>
      <c r="I176" s="543"/>
      <c r="J176" s="549"/>
      <c r="K176" s="550"/>
      <c r="L176" s="550"/>
      <c r="M176" s="550"/>
      <c r="N176" s="551"/>
    </row>
    <row r="177" spans="2:14" x14ac:dyDescent="0.25">
      <c r="B177" s="543"/>
      <c r="C177" s="29" t="b">
        <f>IF(NOT(ISBLANK('Toma de datos'!H53)),'Toma de datos'!H53*LOOKUP('Información general'!$L$53,'Equipamiento y listas'!$J$36:$J$48,'Equipamiento y listas'!$L$36:$L$48)*LOOKUP("psi",'Equipamiento y listas'!$K$47:$K$61,'Equipamiento y listas'!$L$47:$L$61))</f>
        <v>0</v>
      </c>
      <c r="D177" s="5">
        <f t="shared" si="8"/>
        <v>-0.20194848658088754</v>
      </c>
      <c r="E177" s="5">
        <f>IFERROR(ABS(D177-($M$128+$M$129*C177+$M$130*C177*C177+$M$131*C177*C177*C177)),'Equipamiento y listas'!$I$23)</f>
        <v>1.2830197423224221E-2</v>
      </c>
      <c r="F177" s="1" t="b">
        <f t="shared" si="9"/>
        <v>0</v>
      </c>
      <c r="G177" s="1" t="e">
        <f t="shared" si="7"/>
        <v>#N/A</v>
      </c>
      <c r="I177" s="543"/>
      <c r="J177" s="549"/>
      <c r="K177" s="550"/>
      <c r="L177" s="550"/>
      <c r="M177" s="550"/>
      <c r="N177" s="551"/>
    </row>
    <row r="178" spans="2:14" x14ac:dyDescent="0.25">
      <c r="B178" s="543"/>
      <c r="C178" s="29" t="b">
        <f>IF(NOT(ISBLANK('Toma de datos'!H54)),'Toma de datos'!H54*LOOKUP('Información general'!$L$53,'Equipamiento y listas'!$J$36:$J$48,'Equipamiento y listas'!$L$36:$L$48)*LOOKUP("psi",'Equipamiento y listas'!$K$47:$K$61,'Equipamiento y listas'!$L$47:$L$61))</f>
        <v>0</v>
      </c>
      <c r="D178" s="5">
        <f t="shared" si="8"/>
        <v>-0.20194848658088754</v>
      </c>
      <c r="E178" s="5">
        <f>IFERROR(ABS(D178-($M$128+$M$129*C178+$M$130*C178*C178+$M$131*C178*C178*C178)),'Equipamiento y listas'!$I$23)</f>
        <v>1.2830197423224221E-2</v>
      </c>
      <c r="F178" s="1" t="b">
        <f t="shared" si="9"/>
        <v>0</v>
      </c>
      <c r="G178" s="1" t="e">
        <f t="shared" si="7"/>
        <v>#N/A</v>
      </c>
      <c r="I178" s="543"/>
      <c r="J178" s="549"/>
      <c r="K178" s="550"/>
      <c r="L178" s="550"/>
      <c r="M178" s="550"/>
      <c r="N178" s="551"/>
    </row>
    <row r="179" spans="2:14" x14ac:dyDescent="0.25">
      <c r="B179" s="543"/>
      <c r="C179" s="29" t="b">
        <f>IF(NOT(ISBLANK('Toma de datos'!H55)),'Toma de datos'!H55*LOOKUP('Información general'!$L$53,'Equipamiento y listas'!$J$36:$J$48,'Equipamiento y listas'!$L$36:$L$48)*LOOKUP("psi",'Equipamiento y listas'!$K$47:$K$61,'Equipamiento y listas'!$L$47:$L$61))</f>
        <v>0</v>
      </c>
      <c r="D179" s="5">
        <f t="shared" si="8"/>
        <v>-0.20194848658088754</v>
      </c>
      <c r="E179" s="5">
        <f>IFERROR(ABS(D179-($M$128+$M$129*C179+$M$130*C179*C179+$M$131*C179*C179*C179)),'Equipamiento y listas'!$I$23)</f>
        <v>1.2830197423224221E-2</v>
      </c>
      <c r="F179" s="1" t="b">
        <f t="shared" si="9"/>
        <v>0</v>
      </c>
      <c r="G179" s="1" t="e">
        <f t="shared" si="7"/>
        <v>#N/A</v>
      </c>
      <c r="I179" s="543"/>
      <c r="J179" s="549"/>
      <c r="K179" s="550"/>
      <c r="L179" s="550"/>
      <c r="M179" s="550"/>
      <c r="N179" s="551"/>
    </row>
    <row r="180" spans="2:14" ht="15.75" thickBot="1" x14ac:dyDescent="0.3">
      <c r="B180" s="544"/>
      <c r="C180" s="50" t="b">
        <f>IF(NOT(ISBLANK('Toma de datos'!H56)),'Toma de datos'!H56*LOOKUP('Información general'!$L$53,'Equipamiento y listas'!$J$36:$J$48,'Equipamiento y listas'!$L$36:$L$48)*LOOKUP("psi",'Equipamiento y listas'!$K$47:$K$61,'Equipamiento y listas'!$L$47:$L$61))</f>
        <v>0</v>
      </c>
      <c r="D180" s="28">
        <f t="shared" si="8"/>
        <v>-0.20194848658088754</v>
      </c>
      <c r="E180" s="28">
        <f>IFERROR(ABS(D180-($M$128+$M$129*C180+$M$130*C180*C180+$M$131*C180*C180*C180)),'Equipamiento y listas'!$I$23)</f>
        <v>1.2830197423224221E-2</v>
      </c>
      <c r="F180" s="27" t="b">
        <f t="shared" si="9"/>
        <v>0</v>
      </c>
      <c r="G180" s="27" t="e">
        <f t="shared" si="7"/>
        <v>#N/A</v>
      </c>
      <c r="I180" s="544"/>
      <c r="J180" s="552"/>
      <c r="K180" s="553"/>
      <c r="L180" s="553"/>
      <c r="M180" s="553"/>
      <c r="N180" s="554"/>
    </row>
    <row r="181" spans="2:14" ht="14.45" customHeight="1" x14ac:dyDescent="0.25">
      <c r="B181" s="542" t="s">
        <v>263</v>
      </c>
      <c r="C181" s="31" t="b">
        <f>IF(NOT(ISBLANK('Toma de datos'!J47)),'Toma de datos'!J47*LOOKUP('Información general'!$L$53,'Equipamiento y listas'!$J$36:$J$48,'Equipamiento y listas'!$L$36:$L$48)*LOOKUP("psi",'Equipamiento y listas'!$K$47:$K$61,'Equipamiento y listas'!$L$47:$L$61))</f>
        <v>0</v>
      </c>
      <c r="D181" s="32">
        <f t="shared" si="8"/>
        <v>-0.20194848658088754</v>
      </c>
      <c r="E181" s="32">
        <f>IFERROR(ABS(D181-($M$128+$M$129*C181+$M$130*C181*C181+$M$131*C181*C181*C181)),'Equipamiento y listas'!$I$23)</f>
        <v>1.2830197423224221E-2</v>
      </c>
      <c r="F181" s="31" t="b">
        <f t="shared" si="9"/>
        <v>0</v>
      </c>
      <c r="G181" s="31" t="e">
        <f t="shared" si="7"/>
        <v>#N/A</v>
      </c>
      <c r="I181" s="542" t="s">
        <v>263</v>
      </c>
      <c r="J181" s="546"/>
      <c r="K181" s="547"/>
      <c r="L181" s="547"/>
      <c r="M181" s="547"/>
      <c r="N181" s="548"/>
    </row>
    <row r="182" spans="2:14" x14ac:dyDescent="0.25">
      <c r="B182" s="543"/>
      <c r="C182" s="1" t="b">
        <f>IF(NOT(ISBLANK('Toma de datos'!J48)),'Toma de datos'!J48*LOOKUP('Información general'!$L$53,'Equipamiento y listas'!$J$36:$J$48,'Equipamiento y listas'!$L$36:$L$48)*LOOKUP("psi",'Equipamiento y listas'!$K$47:$K$61,'Equipamiento y listas'!$L$47:$L$61))</f>
        <v>0</v>
      </c>
      <c r="D182" s="5">
        <f t="shared" si="8"/>
        <v>-0.20194848658088754</v>
      </c>
      <c r="E182" s="5">
        <f>IFERROR(ABS(D182-($M$128+$M$129*C182+$M$130*C182*C182+$M$131*C182*C182*C182)),'Equipamiento y listas'!$I$23)</f>
        <v>1.2830197423224221E-2</v>
      </c>
      <c r="F182" s="1" t="b">
        <f t="shared" si="9"/>
        <v>0</v>
      </c>
      <c r="G182" s="1" t="e">
        <f t="shared" si="7"/>
        <v>#N/A</v>
      </c>
      <c r="I182" s="543"/>
      <c r="J182" s="549"/>
      <c r="K182" s="550"/>
      <c r="L182" s="550"/>
      <c r="M182" s="550"/>
      <c r="N182" s="551"/>
    </row>
    <row r="183" spans="2:14" x14ac:dyDescent="0.25">
      <c r="B183" s="543"/>
      <c r="C183" s="1" t="b">
        <f>IF(NOT(ISBLANK('Toma de datos'!J49)),'Toma de datos'!J49*LOOKUP('Información general'!$L$53,'Equipamiento y listas'!$J$36:$J$48,'Equipamiento y listas'!$L$36:$L$48)*LOOKUP("psi",'Equipamiento y listas'!$K$47:$K$61,'Equipamiento y listas'!$L$47:$L$61))</f>
        <v>0</v>
      </c>
      <c r="D183" s="5">
        <f t="shared" si="8"/>
        <v>-0.20194848658088754</v>
      </c>
      <c r="E183" s="5">
        <f>IFERROR(ABS(D183-($M$128+$M$129*C183+$M$130*C183*C183+$M$131*C183*C183*C183)),'Equipamiento y listas'!$I$23)</f>
        <v>1.2830197423224221E-2</v>
      </c>
      <c r="F183" s="1" t="b">
        <f t="shared" si="9"/>
        <v>0</v>
      </c>
      <c r="G183" s="1" t="e">
        <f t="shared" si="7"/>
        <v>#N/A</v>
      </c>
      <c r="I183" s="543"/>
      <c r="J183" s="549"/>
      <c r="K183" s="550"/>
      <c r="L183" s="550"/>
      <c r="M183" s="550"/>
      <c r="N183" s="551"/>
    </row>
    <row r="184" spans="2:14" x14ac:dyDescent="0.25">
      <c r="B184" s="543"/>
      <c r="C184" s="1" t="b">
        <f>IF(NOT(ISBLANK('Toma de datos'!J50)),'Toma de datos'!J50*LOOKUP('Información general'!$L$53,'Equipamiento y listas'!$J$36:$J$48,'Equipamiento y listas'!$L$36:$L$48)*LOOKUP("psi",'Equipamiento y listas'!$K$47:$K$61,'Equipamiento y listas'!$L$47:$L$61))</f>
        <v>0</v>
      </c>
      <c r="D184" s="5">
        <f t="shared" si="8"/>
        <v>-0.20194848658088754</v>
      </c>
      <c r="E184" s="5">
        <f>IFERROR(ABS(D184-($M$128+$M$129*C184+$M$130*C184*C184+$M$131*C184*C184*C184)),'Equipamiento y listas'!$I$23)</f>
        <v>1.2830197423224221E-2</v>
      </c>
      <c r="F184" s="1" t="b">
        <f t="shared" si="9"/>
        <v>0</v>
      </c>
      <c r="G184" s="1" t="e">
        <f t="shared" si="7"/>
        <v>#N/A</v>
      </c>
      <c r="I184" s="543"/>
      <c r="J184" s="549"/>
      <c r="K184" s="550"/>
      <c r="L184" s="550"/>
      <c r="M184" s="550"/>
      <c r="N184" s="551"/>
    </row>
    <row r="185" spans="2:14" x14ac:dyDescent="0.25">
      <c r="B185" s="543"/>
      <c r="C185" s="1" t="b">
        <f>IF(NOT(ISBLANK('Toma de datos'!J51)),'Toma de datos'!J51*LOOKUP('Información general'!$L$53,'Equipamiento y listas'!$J$36:$J$48,'Equipamiento y listas'!$L$36:$L$48)*LOOKUP("psi",'Equipamiento y listas'!$K$47:$K$61,'Equipamiento y listas'!$L$47:$L$61))</f>
        <v>0</v>
      </c>
      <c r="D185" s="5">
        <f t="shared" si="8"/>
        <v>-0.20194848658088754</v>
      </c>
      <c r="E185" s="5">
        <f>IFERROR(ABS(D185-($M$128+$M$129*C185+$M$130*C185*C185+$M$131*C185*C185*C185)),'Equipamiento y listas'!$I$23)</f>
        <v>1.2830197423224221E-2</v>
      </c>
      <c r="F185" s="1" t="b">
        <f t="shared" si="9"/>
        <v>0</v>
      </c>
      <c r="G185" s="1" t="e">
        <f t="shared" si="7"/>
        <v>#N/A</v>
      </c>
      <c r="I185" s="543"/>
      <c r="J185" s="549"/>
      <c r="K185" s="550"/>
      <c r="L185" s="550"/>
      <c r="M185" s="550"/>
      <c r="N185" s="551"/>
    </row>
    <row r="186" spans="2:14" x14ac:dyDescent="0.25">
      <c r="B186" s="543"/>
      <c r="C186" s="1" t="b">
        <f>IF(NOT(ISBLANK('Toma de datos'!J52)),'Toma de datos'!J52*LOOKUP('Información general'!$L$53,'Equipamiento y listas'!$J$36:$J$48,'Equipamiento y listas'!$L$36:$L$48)*LOOKUP("psi",'Equipamiento y listas'!$K$47:$K$61,'Equipamiento y listas'!$L$47:$L$61))</f>
        <v>0</v>
      </c>
      <c r="D186" s="5">
        <f t="shared" si="8"/>
        <v>-0.20194848658088754</v>
      </c>
      <c r="E186" s="5">
        <f>IFERROR(ABS(D186-($M$128+$M$129*C186+$M$130*C186*C186+$M$131*C186*C186*C186)),'Equipamiento y listas'!$I$23)</f>
        <v>1.2830197423224221E-2</v>
      </c>
      <c r="F186" s="1" t="b">
        <f t="shared" si="9"/>
        <v>0</v>
      </c>
      <c r="G186" s="1" t="e">
        <f t="shared" si="7"/>
        <v>#N/A</v>
      </c>
      <c r="I186" s="543"/>
      <c r="J186" s="549"/>
      <c r="K186" s="550"/>
      <c r="L186" s="550"/>
      <c r="M186" s="550"/>
      <c r="N186" s="551"/>
    </row>
    <row r="187" spans="2:14" x14ac:dyDescent="0.25">
      <c r="B187" s="543"/>
      <c r="C187" s="1" t="b">
        <f>IF(NOT(ISBLANK('Toma de datos'!J53)),'Toma de datos'!J53*LOOKUP('Información general'!$L$53,'Equipamiento y listas'!$J$36:$J$48,'Equipamiento y listas'!$L$36:$L$48)*LOOKUP("psi",'Equipamiento y listas'!$K$47:$K$61,'Equipamiento y listas'!$L$47:$L$61))</f>
        <v>0</v>
      </c>
      <c r="D187" s="5">
        <f t="shared" si="8"/>
        <v>-0.20194848658088754</v>
      </c>
      <c r="E187" s="5">
        <f>IFERROR(ABS(D187-($M$128+$M$129*C187+$M$130*C187*C187+$M$131*C187*C187*C187)),'Equipamiento y listas'!$I$23)</f>
        <v>1.2830197423224221E-2</v>
      </c>
      <c r="F187" s="1" t="b">
        <f t="shared" si="9"/>
        <v>0</v>
      </c>
      <c r="G187" s="1" t="e">
        <f t="shared" si="7"/>
        <v>#N/A</v>
      </c>
      <c r="I187" s="543"/>
      <c r="J187" s="549"/>
      <c r="K187" s="550"/>
      <c r="L187" s="550"/>
      <c r="M187" s="550"/>
      <c r="N187" s="551"/>
    </row>
    <row r="188" spans="2:14" x14ac:dyDescent="0.25">
      <c r="B188" s="543"/>
      <c r="C188" s="1" t="b">
        <f>IF(NOT(ISBLANK('Toma de datos'!J54)),'Toma de datos'!J54*LOOKUP('Información general'!$L$53,'Equipamiento y listas'!$J$36:$J$48,'Equipamiento y listas'!$L$36:$L$48)*LOOKUP("psi",'Equipamiento y listas'!$K$47:$K$61,'Equipamiento y listas'!$L$47:$L$61))</f>
        <v>0</v>
      </c>
      <c r="D188" s="5">
        <f t="shared" si="8"/>
        <v>-0.20194848658088754</v>
      </c>
      <c r="E188" s="5">
        <f>IFERROR(ABS(D188-($M$128+$M$129*C188+$M$130*C188*C188+$M$131*C188*C188*C188)),'Equipamiento y listas'!$I$23)</f>
        <v>1.2830197423224221E-2</v>
      </c>
      <c r="F188" s="1" t="b">
        <f t="shared" si="9"/>
        <v>0</v>
      </c>
      <c r="G188" s="1" t="e">
        <f t="shared" si="7"/>
        <v>#N/A</v>
      </c>
      <c r="I188" s="543"/>
      <c r="J188" s="549"/>
      <c r="K188" s="550"/>
      <c r="L188" s="550"/>
      <c r="M188" s="550"/>
      <c r="N188" s="551"/>
    </row>
    <row r="189" spans="2:14" x14ac:dyDescent="0.25">
      <c r="B189" s="543"/>
      <c r="C189" s="1" t="b">
        <f>IF(NOT(ISBLANK('Toma de datos'!J55)),'Toma de datos'!J55*LOOKUP('Información general'!$L$53,'Equipamiento y listas'!$J$36:$J$48,'Equipamiento y listas'!$L$36:$L$48)*LOOKUP("psi",'Equipamiento y listas'!$K$47:$K$61,'Equipamiento y listas'!$L$47:$L$61))</f>
        <v>0</v>
      </c>
      <c r="D189" s="5">
        <f t="shared" si="8"/>
        <v>-0.20194848658088754</v>
      </c>
      <c r="E189" s="5">
        <f>IFERROR(ABS(D189-($M$128+$M$129*C189+$M$130*C189*C189+$M$131*C189*C189*C189)),'Equipamiento y listas'!$I$23)</f>
        <v>1.2830197423224221E-2</v>
      </c>
      <c r="F189" s="1" t="b">
        <f t="shared" si="9"/>
        <v>0</v>
      </c>
      <c r="G189" s="1" t="e">
        <f t="shared" si="7"/>
        <v>#N/A</v>
      </c>
      <c r="I189" s="543"/>
      <c r="J189" s="549"/>
      <c r="K189" s="550"/>
      <c r="L189" s="550"/>
      <c r="M189" s="550"/>
      <c r="N189" s="551"/>
    </row>
    <row r="190" spans="2:14" ht="15.75" thickBot="1" x14ac:dyDescent="0.3">
      <c r="B190" s="544"/>
      <c r="C190" s="33" t="b">
        <f>IF(NOT(ISBLANK('Toma de datos'!J56)),'Toma de datos'!J56*LOOKUP('Información general'!$L$53,'Equipamiento y listas'!$J$36:$J$48,'Equipamiento y listas'!$L$36:$L$48)*LOOKUP("psi",'Equipamiento y listas'!$K$47:$K$61,'Equipamiento y listas'!$L$47:$L$61))</f>
        <v>0</v>
      </c>
      <c r="D190" s="34">
        <f t="shared" si="8"/>
        <v>-0.20194848658088754</v>
      </c>
      <c r="E190" s="34">
        <f>IFERROR(ABS(D190-($M$128+$M$129*C190+$M$130*C190*C190+$M$131*C190*C190*C190)),'Equipamiento y listas'!$I$23)</f>
        <v>1.2830197423224221E-2</v>
      </c>
      <c r="F190" s="33" t="b">
        <f t="shared" si="9"/>
        <v>0</v>
      </c>
      <c r="G190" s="33" t="e">
        <f t="shared" si="7"/>
        <v>#N/A</v>
      </c>
      <c r="I190" s="544"/>
      <c r="J190" s="552"/>
      <c r="K190" s="553"/>
      <c r="L190" s="553"/>
      <c r="M190" s="553"/>
      <c r="N190" s="554"/>
    </row>
    <row r="191" spans="2:14" ht="14.45" customHeight="1" x14ac:dyDescent="0.25">
      <c r="B191" s="542" t="s">
        <v>264</v>
      </c>
      <c r="C191" s="29" t="b">
        <f>IF(NOT(ISBLANK('Toma de datos'!L47)),'Toma de datos'!L47*LOOKUP('Información general'!$L$53,'Equipamiento y listas'!$J$36:$J$48,'Equipamiento y listas'!$L$36:$L$48)*LOOKUP("psi",'Equipamiento y listas'!$K$47:$K$61,'Equipamiento y listas'!$L$47:$L$61))</f>
        <v>0</v>
      </c>
      <c r="D191" s="30">
        <f t="shared" si="8"/>
        <v>-0.20194848658088754</v>
      </c>
      <c r="E191" s="30">
        <f>IFERROR(ABS(D191-($M$128+$M$129*C191+$M$130*C191*C191+$M$131*C191*C191*C191)),'Equipamiento y listas'!$I$23)</f>
        <v>1.2830197423224221E-2</v>
      </c>
      <c r="F191" s="29" t="b">
        <f t="shared" si="9"/>
        <v>0</v>
      </c>
      <c r="G191" s="29" t="e">
        <f t="shared" si="7"/>
        <v>#N/A</v>
      </c>
      <c r="I191" s="542" t="s">
        <v>264</v>
      </c>
      <c r="J191" s="546"/>
      <c r="K191" s="547"/>
      <c r="L191" s="547"/>
      <c r="M191" s="547"/>
      <c r="N191" s="548"/>
    </row>
    <row r="192" spans="2:14" x14ac:dyDescent="0.25">
      <c r="B192" s="543"/>
      <c r="C192" s="29" t="b">
        <f>IF(NOT(ISBLANK('Toma de datos'!L48)),'Toma de datos'!L48*LOOKUP('Información general'!$L$53,'Equipamiento y listas'!$J$36:$J$48,'Equipamiento y listas'!$L$36:$L$48)*LOOKUP("psi",'Equipamiento y listas'!$K$47:$K$61,'Equipamiento y listas'!$L$47:$L$61))</f>
        <v>0</v>
      </c>
      <c r="D192" s="5">
        <f t="shared" si="8"/>
        <v>-0.20194848658088754</v>
      </c>
      <c r="E192" s="5">
        <f>IFERROR(ABS(D192-($M$128+$M$129*C192+$M$130*C192*C192+$M$131*C192*C192*C192)),'Equipamiento y listas'!$I$23)</f>
        <v>1.2830197423224221E-2</v>
      </c>
      <c r="F192" s="1" t="b">
        <f t="shared" si="9"/>
        <v>0</v>
      </c>
      <c r="G192" s="1" t="e">
        <f t="shared" si="7"/>
        <v>#N/A</v>
      </c>
      <c r="I192" s="543"/>
      <c r="J192" s="549"/>
      <c r="K192" s="550"/>
      <c r="L192" s="550"/>
      <c r="M192" s="550"/>
      <c r="N192" s="551"/>
    </row>
    <row r="193" spans="1:15" x14ac:dyDescent="0.25">
      <c r="B193" s="543"/>
      <c r="C193" s="29" t="b">
        <f>IF(NOT(ISBLANK('Toma de datos'!L49)),'Toma de datos'!L49*LOOKUP('Información general'!$L$53,'Equipamiento y listas'!$J$36:$J$48,'Equipamiento y listas'!$L$36:$L$48)*LOOKUP("psi",'Equipamiento y listas'!$K$47:$K$61,'Equipamiento y listas'!$L$47:$L$61))</f>
        <v>0</v>
      </c>
      <c r="D193" s="5">
        <f t="shared" si="8"/>
        <v>-0.20194848658088754</v>
      </c>
      <c r="E193" s="5">
        <f>IFERROR(ABS(D193-($M$128+$M$129*C193+$M$130*C193*C193+$M$131*C193*C193*C193)),'Equipamiento y listas'!$I$23)</f>
        <v>1.2830197423224221E-2</v>
      </c>
      <c r="F193" s="1" t="b">
        <f t="shared" si="9"/>
        <v>0</v>
      </c>
      <c r="G193" s="1" t="e">
        <f t="shared" si="7"/>
        <v>#N/A</v>
      </c>
      <c r="I193" s="543"/>
      <c r="J193" s="549"/>
      <c r="K193" s="550"/>
      <c r="L193" s="550"/>
      <c r="M193" s="550"/>
      <c r="N193" s="551"/>
    </row>
    <row r="194" spans="1:15" x14ac:dyDescent="0.25">
      <c r="B194" s="543"/>
      <c r="C194" s="29" t="b">
        <f>IF(NOT(ISBLANK('Toma de datos'!L50)),'Toma de datos'!L50*LOOKUP('Información general'!$L$53,'Equipamiento y listas'!$J$36:$J$48,'Equipamiento y listas'!$L$36:$L$48)*LOOKUP("psi",'Equipamiento y listas'!$K$47:$K$61,'Equipamiento y listas'!$L$47:$L$61))</f>
        <v>0</v>
      </c>
      <c r="D194" s="5">
        <f t="shared" si="8"/>
        <v>-0.20194848658088754</v>
      </c>
      <c r="E194" s="5">
        <f>IFERROR(ABS(D194-($M$128+$M$129*C194+$M$130*C194*C194+$M$131*C194*C194*C194)),'Equipamiento y listas'!$I$23)</f>
        <v>1.2830197423224221E-2</v>
      </c>
      <c r="F194" s="1" t="b">
        <f t="shared" si="9"/>
        <v>0</v>
      </c>
      <c r="G194" s="1" t="e">
        <f t="shared" si="7"/>
        <v>#N/A</v>
      </c>
      <c r="I194" s="543"/>
      <c r="J194" s="549"/>
      <c r="K194" s="550"/>
      <c r="L194" s="550"/>
      <c r="M194" s="550"/>
      <c r="N194" s="551"/>
    </row>
    <row r="195" spans="1:15" x14ac:dyDescent="0.25">
      <c r="B195" s="543"/>
      <c r="C195" s="29" t="b">
        <f>IF(NOT(ISBLANK('Toma de datos'!L51)),'Toma de datos'!L51*LOOKUP('Información general'!$L$53,'Equipamiento y listas'!$J$36:$J$48,'Equipamiento y listas'!$L$36:$L$48)*LOOKUP("psi",'Equipamiento y listas'!$K$47:$K$61,'Equipamiento y listas'!$L$47:$L$61))</f>
        <v>0</v>
      </c>
      <c r="D195" s="5">
        <f t="shared" si="8"/>
        <v>-0.20194848658088754</v>
      </c>
      <c r="E195" s="5">
        <f>IFERROR(ABS(D195-($M$128+$M$129*C195+$M$130*C195*C195+$M$131*C195*C195*C195)),'Equipamiento y listas'!$I$23)</f>
        <v>1.2830197423224221E-2</v>
      </c>
      <c r="F195" s="1" t="b">
        <f t="shared" si="9"/>
        <v>0</v>
      </c>
      <c r="G195" s="1" t="e">
        <f t="shared" si="7"/>
        <v>#N/A</v>
      </c>
      <c r="I195" s="543"/>
      <c r="J195" s="549"/>
      <c r="K195" s="550"/>
      <c r="L195" s="550"/>
      <c r="M195" s="550"/>
      <c r="N195" s="551"/>
    </row>
    <row r="196" spans="1:15" x14ac:dyDescent="0.25">
      <c r="B196" s="543"/>
      <c r="C196" s="29" t="b">
        <f>IF(NOT(ISBLANK('Toma de datos'!L52)),'Toma de datos'!L52*LOOKUP('Información general'!$L$53,'Equipamiento y listas'!$J$36:$J$48,'Equipamiento y listas'!$L$36:$L$48)*LOOKUP("psi",'Equipamiento y listas'!$K$47:$K$61,'Equipamiento y listas'!$L$47:$L$61))</f>
        <v>0</v>
      </c>
      <c r="D196" s="5">
        <f t="shared" si="8"/>
        <v>-0.20194848658088754</v>
      </c>
      <c r="E196" s="5">
        <f>IFERROR(ABS(D196-($M$128+$M$129*C196+$M$130*C196*C196+$M$131*C196*C196*C196)),'Equipamiento y listas'!$I$23)</f>
        <v>1.2830197423224221E-2</v>
      </c>
      <c r="F196" s="1" t="b">
        <f t="shared" si="9"/>
        <v>0</v>
      </c>
      <c r="G196" s="1" t="e">
        <f t="shared" si="7"/>
        <v>#N/A</v>
      </c>
      <c r="I196" s="543"/>
      <c r="J196" s="549"/>
      <c r="K196" s="550"/>
      <c r="L196" s="550"/>
      <c r="M196" s="550"/>
      <c r="N196" s="551"/>
    </row>
    <row r="197" spans="1:15" x14ac:dyDescent="0.25">
      <c r="B197" s="543"/>
      <c r="C197" s="29" t="b">
        <f>IF(NOT(ISBLANK('Toma de datos'!L53)),'Toma de datos'!L53*LOOKUP('Información general'!$L$53,'Equipamiento y listas'!$J$36:$J$48,'Equipamiento y listas'!$L$36:$L$48)*LOOKUP("psi",'Equipamiento y listas'!$K$47:$K$61,'Equipamiento y listas'!$L$47:$L$61))</f>
        <v>0</v>
      </c>
      <c r="D197" s="5">
        <f t="shared" si="8"/>
        <v>-0.20194848658088754</v>
      </c>
      <c r="E197" s="5">
        <f>IFERROR(ABS(D197-($M$128+$M$129*C197+$M$130*C197*C197+$M$131*C197*C197*C197)),'Equipamiento y listas'!$I$23)</f>
        <v>1.2830197423224221E-2</v>
      </c>
      <c r="F197" s="1" t="b">
        <f t="shared" si="9"/>
        <v>0</v>
      </c>
      <c r="G197" s="1" t="e">
        <f t="shared" si="7"/>
        <v>#N/A</v>
      </c>
      <c r="I197" s="543"/>
      <c r="J197" s="549"/>
      <c r="K197" s="550"/>
      <c r="L197" s="550"/>
      <c r="M197" s="550"/>
      <c r="N197" s="551"/>
    </row>
    <row r="198" spans="1:15" x14ac:dyDescent="0.25">
      <c r="B198" s="543"/>
      <c r="C198" s="29" t="b">
        <f>IF(NOT(ISBLANK('Toma de datos'!L54)),'Toma de datos'!L54*LOOKUP('Información general'!$L$53,'Equipamiento y listas'!$J$36:$J$48,'Equipamiento y listas'!$L$36:$L$48)*LOOKUP("psi",'Equipamiento y listas'!$K$47:$K$61,'Equipamiento y listas'!$L$47:$L$61))</f>
        <v>0</v>
      </c>
      <c r="D198" s="5">
        <f t="shared" si="8"/>
        <v>-0.20194848658088754</v>
      </c>
      <c r="E198" s="5">
        <f>IFERROR(ABS(D198-($M$128+$M$129*C198+$M$130*C198*C198+$M$131*C198*C198*C198)),'Equipamiento y listas'!$I$23)</f>
        <v>1.2830197423224221E-2</v>
      </c>
      <c r="F198" s="1" t="b">
        <f t="shared" si="9"/>
        <v>0</v>
      </c>
      <c r="G198" s="1" t="e">
        <f t="shared" si="7"/>
        <v>#N/A</v>
      </c>
      <c r="I198" s="543"/>
      <c r="J198" s="549"/>
      <c r="K198" s="550"/>
      <c r="L198" s="550"/>
      <c r="M198" s="550"/>
      <c r="N198" s="551"/>
    </row>
    <row r="199" spans="1:15" x14ac:dyDescent="0.25">
      <c r="B199" s="543"/>
      <c r="C199" s="29" t="b">
        <f>IF(NOT(ISBLANK('Toma de datos'!L55)),'Toma de datos'!L55*LOOKUP('Información general'!$L$53,'Equipamiento y listas'!$J$36:$J$48,'Equipamiento y listas'!$L$36:$L$48)*LOOKUP("psi",'Equipamiento y listas'!$K$47:$K$61,'Equipamiento y listas'!$L$47:$L$61))</f>
        <v>0</v>
      </c>
      <c r="D199" s="5">
        <f t="shared" si="8"/>
        <v>-0.20194848658088754</v>
      </c>
      <c r="E199" s="5">
        <f>IFERROR(ABS(D199-($M$128+$M$129*C199+$M$130*C199*C199+$M$131*C199*C199*C199)),'Equipamiento y listas'!$I$23)</f>
        <v>1.2830197423224221E-2</v>
      </c>
      <c r="F199" s="1" t="b">
        <f t="shared" si="9"/>
        <v>0</v>
      </c>
      <c r="G199" s="1" t="e">
        <f t="shared" si="7"/>
        <v>#N/A</v>
      </c>
      <c r="I199" s="543"/>
      <c r="J199" s="549"/>
      <c r="K199" s="550"/>
      <c r="L199" s="550"/>
      <c r="M199" s="550"/>
      <c r="N199" s="551"/>
    </row>
    <row r="200" spans="1:15" x14ac:dyDescent="0.25">
      <c r="B200" s="545"/>
      <c r="C200" s="29" t="b">
        <f>IF(NOT(ISBLANK('Toma de datos'!L56)),'Toma de datos'!L56*LOOKUP('Información general'!$L$53,'Equipamiento y listas'!$J$36:$J$48,'Equipamiento y listas'!$L$36:$L$48)*LOOKUP("psi",'Equipamiento y listas'!$K$47:$K$61,'Equipamiento y listas'!$L$47:$L$61))</f>
        <v>0</v>
      </c>
      <c r="D200" s="5">
        <f t="shared" si="8"/>
        <v>-0.20194848658088754</v>
      </c>
      <c r="E200" s="5">
        <f>IFERROR(ABS(D200-($M$128+$M$129*C200+$M$130*C200*C200+$M$131*C200*C200*C200)),'Equipamiento y listas'!$I$23)</f>
        <v>1.2830197423224221E-2</v>
      </c>
      <c r="F200" s="1" t="b">
        <f t="shared" si="9"/>
        <v>0</v>
      </c>
      <c r="G200" s="1" t="e">
        <f t="shared" si="7"/>
        <v>#N/A</v>
      </c>
      <c r="I200" s="545"/>
      <c r="J200" s="552"/>
      <c r="K200" s="553"/>
      <c r="L200" s="553"/>
      <c r="M200" s="553"/>
      <c r="N200" s="554"/>
    </row>
    <row r="202" spans="1:15" ht="24.95" customHeight="1" x14ac:dyDescent="0.25">
      <c r="A202" s="536" t="s">
        <v>207</v>
      </c>
      <c r="B202" s="536"/>
      <c r="C202" s="536"/>
      <c r="D202" s="536"/>
      <c r="E202" s="536"/>
      <c r="F202" s="536"/>
      <c r="G202" s="536"/>
      <c r="H202" s="536"/>
      <c r="I202" s="536"/>
      <c r="J202" s="536"/>
      <c r="K202" s="536"/>
      <c r="L202" s="536"/>
      <c r="M202" s="536"/>
      <c r="N202" s="536"/>
      <c r="O202" s="536"/>
    </row>
    <row r="204" spans="1:15" x14ac:dyDescent="0.25">
      <c r="B204" s="537" t="s">
        <v>60</v>
      </c>
      <c r="C204" s="505"/>
      <c r="D204" s="505"/>
      <c r="E204" s="505"/>
      <c r="F204" s="505"/>
      <c r="G204" s="506"/>
      <c r="I204" s="508" t="s">
        <v>61</v>
      </c>
      <c r="J204" s="508"/>
      <c r="K204" s="508"/>
      <c r="L204" s="508"/>
      <c r="M204" s="508"/>
      <c r="N204" s="508"/>
    </row>
    <row r="205" spans="1:15" x14ac:dyDescent="0.25">
      <c r="B205" s="538"/>
      <c r="C205" s="508"/>
      <c r="D205" s="508"/>
      <c r="E205" s="508"/>
      <c r="F205" s="508"/>
      <c r="G205" s="509"/>
      <c r="I205" s="508"/>
      <c r="J205" s="508"/>
      <c r="K205" s="508"/>
      <c r="L205" s="508"/>
      <c r="M205" s="508"/>
      <c r="N205" s="508"/>
    </row>
    <row r="206" spans="1:15" x14ac:dyDescent="0.25">
      <c r="B206" s="538"/>
      <c r="C206" s="508"/>
      <c r="D206" s="508"/>
      <c r="E206" s="508"/>
      <c r="F206" s="508"/>
      <c r="G206" s="509"/>
      <c r="I206" s="508"/>
      <c r="J206" s="508"/>
      <c r="K206" s="508"/>
      <c r="L206" s="508"/>
      <c r="M206" s="508"/>
      <c r="N206" s="508"/>
    </row>
    <row r="207" spans="1:15" ht="14.45" customHeight="1" x14ac:dyDescent="0.25">
      <c r="B207" s="485" t="s">
        <v>26</v>
      </c>
      <c r="C207" s="485"/>
      <c r="D207" s="486"/>
      <c r="E207" s="479">
        <f>'Equipamiento y listas'!K24</f>
        <v>45408</v>
      </c>
      <c r="F207" s="480"/>
      <c r="G207" s="480"/>
      <c r="I207" s="485" t="s">
        <v>118</v>
      </c>
      <c r="J207" s="485"/>
      <c r="K207" s="486"/>
      <c r="L207" s="491"/>
      <c r="M207" s="492"/>
      <c r="N207" s="492"/>
    </row>
    <row r="208" spans="1:15" x14ac:dyDescent="0.25">
      <c r="B208" s="487"/>
      <c r="C208" s="487"/>
      <c r="D208" s="488"/>
      <c r="E208" s="481"/>
      <c r="F208" s="482"/>
      <c r="G208" s="482"/>
      <c r="I208" s="487"/>
      <c r="J208" s="487"/>
      <c r="K208" s="488"/>
      <c r="L208" s="493"/>
      <c r="M208" s="494"/>
      <c r="N208" s="494"/>
    </row>
    <row r="209" spans="1:14" x14ac:dyDescent="0.25">
      <c r="B209" s="489"/>
      <c r="C209" s="489"/>
      <c r="D209" s="490"/>
      <c r="E209" s="483"/>
      <c r="F209" s="484"/>
      <c r="G209" s="484"/>
      <c r="I209" s="489"/>
      <c r="J209" s="489"/>
      <c r="K209" s="490"/>
      <c r="L209" s="495"/>
      <c r="M209" s="496"/>
      <c r="N209" s="496"/>
    </row>
    <row r="210" spans="1:14" ht="14.45" customHeight="1" x14ac:dyDescent="0.25">
      <c r="B210" s="524" t="s">
        <v>197</v>
      </c>
      <c r="C210" s="497" t="s">
        <v>198</v>
      </c>
      <c r="D210" s="497" t="s">
        <v>199</v>
      </c>
      <c r="E210" s="497" t="s">
        <v>200</v>
      </c>
      <c r="F210" s="518" t="s">
        <v>58</v>
      </c>
      <c r="G210" s="522" t="s">
        <v>201</v>
      </c>
      <c r="I210" s="524" t="s">
        <v>197</v>
      </c>
      <c r="J210" s="497" t="s">
        <v>198</v>
      </c>
      <c r="K210" s="497" t="s">
        <v>199</v>
      </c>
      <c r="L210" s="497" t="s">
        <v>200</v>
      </c>
      <c r="M210" s="518" t="s">
        <v>58</v>
      </c>
      <c r="N210" s="518" t="s">
        <v>201</v>
      </c>
    </row>
    <row r="211" spans="1:14" x14ac:dyDescent="0.25">
      <c r="B211" s="525"/>
      <c r="C211" s="498"/>
      <c r="D211" s="498"/>
      <c r="E211" s="498"/>
      <c r="F211" s="498"/>
      <c r="G211" s="500"/>
      <c r="I211" s="525"/>
      <c r="J211" s="498"/>
      <c r="K211" s="498"/>
      <c r="L211" s="498"/>
      <c r="M211" s="498"/>
      <c r="N211" s="498"/>
    </row>
    <row r="212" spans="1:14" x14ac:dyDescent="0.25">
      <c r="B212" s="525"/>
      <c r="C212" s="498"/>
      <c r="D212" s="498"/>
      <c r="E212" s="498"/>
      <c r="F212" s="498"/>
      <c r="G212" s="500"/>
      <c r="I212" s="525"/>
      <c r="J212" s="498"/>
      <c r="K212" s="498"/>
      <c r="L212" s="498"/>
      <c r="M212" s="498"/>
      <c r="N212" s="498"/>
    </row>
    <row r="213" spans="1:14" ht="14.45" customHeight="1" x14ac:dyDescent="0.25">
      <c r="A213" s="6"/>
      <c r="B213" s="108">
        <v>0</v>
      </c>
      <c r="C213" s="108">
        <v>0</v>
      </c>
      <c r="D213" s="17">
        <v>0.01</v>
      </c>
      <c r="E213" s="137">
        <v>0.38</v>
      </c>
      <c r="F213" s="17">
        <v>2</v>
      </c>
      <c r="G213" s="18">
        <f>IF(NOT(ISBLANK(C213)),$F$224+$F$225*C213+$F$226*C213*C213+$F$227*C213*C213*C213)</f>
        <v>-1.6783216783218258E-3</v>
      </c>
      <c r="H213" s="7"/>
      <c r="I213" s="17">
        <v>0</v>
      </c>
      <c r="J213" s="17">
        <v>0</v>
      </c>
      <c r="K213" s="17">
        <v>0</v>
      </c>
      <c r="L213" s="17">
        <v>0.13</v>
      </c>
      <c r="M213" s="17">
        <v>2</v>
      </c>
      <c r="N213" s="22">
        <f>IF(NOT(ISBLANK(J213)),$M$224+$M$225*J213+$M$226*J213*J213+$M$227*J213*J213*J213)</f>
        <v>-5.571717025529721E-2</v>
      </c>
    </row>
    <row r="214" spans="1:14" x14ac:dyDescent="0.25">
      <c r="B214" s="109">
        <v>100</v>
      </c>
      <c r="C214" s="109">
        <v>100</v>
      </c>
      <c r="D214" s="17">
        <v>0.12</v>
      </c>
      <c r="E214" s="137">
        <v>0.38</v>
      </c>
      <c r="F214" s="17">
        <v>2</v>
      </c>
      <c r="G214" s="18">
        <f t="shared" ref="G214:G223" si="10">IF(NOT(ISBLANK(C214)),$F$224+$F$225*C214+$F$226*C214*C214+$F$227*C214*C214*C214)</f>
        <v>0.15237762237762209</v>
      </c>
      <c r="H214" s="7"/>
      <c r="I214" s="17">
        <v>100</v>
      </c>
      <c r="J214" s="17">
        <v>100.3</v>
      </c>
      <c r="K214" s="17">
        <v>-0.3</v>
      </c>
      <c r="L214" s="17">
        <v>0.13</v>
      </c>
      <c r="M214" s="17">
        <v>2</v>
      </c>
      <c r="N214" s="22">
        <f t="shared" ref="N214:N223" si="11">IF(NOT(ISBLANK(J214)),$M$224+$M$225*J214+$M$226*J214*J214+$M$227*J214*J214*J214)</f>
        <v>-0.24915581272511661</v>
      </c>
    </row>
    <row r="215" spans="1:14" x14ac:dyDescent="0.25">
      <c r="B215" s="109">
        <v>200</v>
      </c>
      <c r="C215" s="109">
        <v>200</v>
      </c>
      <c r="D215" s="17">
        <v>0.18</v>
      </c>
      <c r="E215" s="137">
        <v>0.38</v>
      </c>
      <c r="F215" s="17">
        <v>2</v>
      </c>
      <c r="G215" s="18">
        <f t="shared" si="10"/>
        <v>0.18897435897435871</v>
      </c>
      <c r="H215" s="7"/>
      <c r="I215" s="17">
        <v>200</v>
      </c>
      <c r="J215" s="17">
        <v>200.4</v>
      </c>
      <c r="K215" s="17">
        <v>-0.4</v>
      </c>
      <c r="L215" s="17">
        <v>0.15</v>
      </c>
      <c r="M215" s="17">
        <v>2</v>
      </c>
      <c r="N215" s="22">
        <f t="shared" si="11"/>
        <v>-0.3450628319939647</v>
      </c>
    </row>
    <row r="216" spans="1:14" x14ac:dyDescent="0.25">
      <c r="B216" s="109">
        <v>300</v>
      </c>
      <c r="C216" s="109">
        <v>300</v>
      </c>
      <c r="D216" s="17">
        <v>0.17</v>
      </c>
      <c r="E216" s="137">
        <v>0.38</v>
      </c>
      <c r="F216" s="17">
        <v>2</v>
      </c>
      <c r="G216" s="18">
        <f t="shared" si="10"/>
        <v>0.1387062937062935</v>
      </c>
      <c r="H216" s="7"/>
      <c r="I216" s="17">
        <v>300</v>
      </c>
      <c r="J216" s="17">
        <v>300.39999999999998</v>
      </c>
      <c r="K216" s="17">
        <v>-0.4</v>
      </c>
      <c r="L216" s="17">
        <v>0.14000000000000001</v>
      </c>
      <c r="M216" s="17">
        <v>2</v>
      </c>
      <c r="N216" s="22">
        <f t="shared" si="11"/>
        <v>-0.36752793963999691</v>
      </c>
    </row>
    <row r="217" spans="1:14" x14ac:dyDescent="0.25">
      <c r="B217" s="109">
        <v>400</v>
      </c>
      <c r="C217" s="109">
        <v>400</v>
      </c>
      <c r="D217" s="17">
        <v>0.08</v>
      </c>
      <c r="E217" s="137">
        <v>0.38</v>
      </c>
      <c r="F217" s="17">
        <v>2</v>
      </c>
      <c r="G217" s="18">
        <f t="shared" si="10"/>
        <v>3.2167832167832144E-2</v>
      </c>
      <c r="H217" s="7"/>
      <c r="I217" s="17">
        <v>400</v>
      </c>
      <c r="J217" s="17">
        <v>400.3</v>
      </c>
      <c r="K217" s="17">
        <v>-0.3</v>
      </c>
      <c r="L217" s="17">
        <v>0.14000000000000001</v>
      </c>
      <c r="M217" s="17">
        <v>2</v>
      </c>
      <c r="N217" s="22">
        <f t="shared" si="11"/>
        <v>-0.34025015002015274</v>
      </c>
    </row>
    <row r="218" spans="1:14" x14ac:dyDescent="0.25">
      <c r="B218" s="109">
        <v>500</v>
      </c>
      <c r="C218" s="109">
        <v>500</v>
      </c>
      <c r="D218" s="17">
        <v>-0.09</v>
      </c>
      <c r="E218" s="137">
        <v>0.38</v>
      </c>
      <c r="F218" s="17">
        <v>2</v>
      </c>
      <c r="G218" s="18">
        <f t="shared" si="10"/>
        <v>-0.10004662004661991</v>
      </c>
      <c r="H218" s="7"/>
      <c r="I218" s="17">
        <v>500</v>
      </c>
      <c r="J218" s="17">
        <v>500.2</v>
      </c>
      <c r="K218" s="17">
        <v>-0.2</v>
      </c>
      <c r="L218" s="17">
        <v>0.13</v>
      </c>
      <c r="M218" s="17">
        <v>2</v>
      </c>
      <c r="N218" s="22">
        <f t="shared" si="11"/>
        <v>-0.28672849660489469</v>
      </c>
    </row>
    <row r="219" spans="1:14" x14ac:dyDescent="0.25">
      <c r="B219" s="109">
        <v>600</v>
      </c>
      <c r="C219" s="109">
        <v>600</v>
      </c>
      <c r="D219" s="17">
        <v>-0.28999999999999998</v>
      </c>
      <c r="E219" s="137">
        <v>0.38</v>
      </c>
      <c r="F219" s="17">
        <v>2</v>
      </c>
      <c r="G219" s="18">
        <f t="shared" si="10"/>
        <v>-0.22734265734265713</v>
      </c>
      <c r="H219" s="7"/>
      <c r="I219" s="17">
        <v>600</v>
      </c>
      <c r="J219" s="17">
        <v>600.20000000000005</v>
      </c>
      <c r="K219" s="17">
        <v>-0.2</v>
      </c>
      <c r="L219" s="17">
        <v>0.17</v>
      </c>
      <c r="M219" s="17">
        <v>2</v>
      </c>
      <c r="N219" s="22">
        <f t="shared" si="11"/>
        <v>-0.23035690603253578</v>
      </c>
    </row>
    <row r="220" spans="1:14" x14ac:dyDescent="0.25">
      <c r="B220" s="109">
        <v>700</v>
      </c>
      <c r="C220" s="109">
        <v>700</v>
      </c>
      <c r="D220" s="17">
        <v>-0.4</v>
      </c>
      <c r="E220" s="137">
        <v>0.38</v>
      </c>
      <c r="F220" s="17">
        <v>2</v>
      </c>
      <c r="G220" s="18">
        <f t="shared" si="10"/>
        <v>-0.31912587412587334</v>
      </c>
      <c r="H220" s="7"/>
      <c r="I220" s="17">
        <v>700</v>
      </c>
      <c r="J220" s="17">
        <v>700.2</v>
      </c>
      <c r="K220" s="17">
        <v>-0.2</v>
      </c>
      <c r="L220" s="17">
        <v>0.18</v>
      </c>
      <c r="M220" s="17">
        <v>2</v>
      </c>
      <c r="N220" s="22">
        <f t="shared" si="11"/>
        <v>-0.19469406231741959</v>
      </c>
    </row>
    <row r="221" spans="1:14" x14ac:dyDescent="0.25">
      <c r="B221" s="109">
        <v>800</v>
      </c>
      <c r="C221" s="109">
        <v>800</v>
      </c>
      <c r="D221" s="17">
        <v>-0.31</v>
      </c>
      <c r="E221" s="137">
        <v>0.38</v>
      </c>
      <c r="F221" s="17">
        <v>2</v>
      </c>
      <c r="G221" s="18">
        <f t="shared" si="10"/>
        <v>-0.3448018648018647</v>
      </c>
      <c r="H221" s="7"/>
      <c r="I221" s="17">
        <v>800</v>
      </c>
      <c r="J221" s="17">
        <v>800.3</v>
      </c>
      <c r="K221" s="17">
        <v>-0.3</v>
      </c>
      <c r="L221" s="17">
        <v>0.17</v>
      </c>
      <c r="M221" s="17">
        <v>2</v>
      </c>
      <c r="N221" s="22">
        <f t="shared" si="11"/>
        <v>-0.20329285502405092</v>
      </c>
    </row>
    <row r="222" spans="1:14" x14ac:dyDescent="0.25">
      <c r="B222" s="109">
        <v>900</v>
      </c>
      <c r="C222" s="109">
        <v>900</v>
      </c>
      <c r="D222" s="17">
        <v>-0.16</v>
      </c>
      <c r="E222" s="137">
        <v>0.38</v>
      </c>
      <c r="F222" s="17">
        <v>2</v>
      </c>
      <c r="G222" s="18">
        <f t="shared" si="10"/>
        <v>-0.27377622377622313</v>
      </c>
      <c r="I222" s="17">
        <v>900</v>
      </c>
      <c r="J222" s="17">
        <v>900.3</v>
      </c>
      <c r="K222" s="17">
        <v>-0.3</v>
      </c>
      <c r="L222" s="17">
        <v>0.17</v>
      </c>
      <c r="M222" s="17">
        <v>2</v>
      </c>
      <c r="N222" s="22">
        <f t="shared" si="11"/>
        <v>-0.27967004873599333</v>
      </c>
    </row>
    <row r="223" spans="1:14" x14ac:dyDescent="0.25">
      <c r="B223" s="109">
        <v>1000</v>
      </c>
      <c r="C223" s="109">
        <v>1000</v>
      </c>
      <c r="D223" s="20">
        <v>-0.14000000000000001</v>
      </c>
      <c r="E223" s="137">
        <v>0.38</v>
      </c>
      <c r="F223" s="17">
        <v>2</v>
      </c>
      <c r="G223" s="18">
        <f t="shared" si="10"/>
        <v>-7.5454545454546107E-2</v>
      </c>
      <c r="I223" s="20">
        <v>1000</v>
      </c>
      <c r="J223" s="20">
        <v>1000.4</v>
      </c>
      <c r="K223" s="20">
        <v>-0.4</v>
      </c>
      <c r="L223" s="20">
        <v>0.17</v>
      </c>
      <c r="M223" s="17">
        <v>2</v>
      </c>
      <c r="N223" s="22">
        <f t="shared" si="11"/>
        <v>-0.4475437266505824</v>
      </c>
    </row>
    <row r="224" spans="1:14" ht="17.100000000000001" customHeight="1" x14ac:dyDescent="0.25">
      <c r="B224" s="502" t="s">
        <v>62</v>
      </c>
      <c r="C224" s="515"/>
      <c r="D224" s="526" t="s">
        <v>63</v>
      </c>
      <c r="E224" s="527"/>
      <c r="F224" s="16">
        <f>INDEX(LINEST(D213:D223,C213:C223^{1,2,3}),4)</f>
        <v>-1.6783216783218258E-3</v>
      </c>
      <c r="G224" s="1" t="s">
        <v>196</v>
      </c>
      <c r="I224" s="502" t="s">
        <v>62</v>
      </c>
      <c r="J224" s="515"/>
      <c r="K224" s="526" t="s">
        <v>63</v>
      </c>
      <c r="L224" s="527"/>
      <c r="M224" s="16">
        <f>INDEX(LINEST(K213:K223,J213:J223^{1,2,3}),4)</f>
        <v>-5.571717025529721E-2</v>
      </c>
      <c r="N224" s="1" t="s">
        <v>196</v>
      </c>
    </row>
    <row r="225" spans="2:14" ht="17.100000000000001" customHeight="1" x14ac:dyDescent="0.25">
      <c r="B225" s="502"/>
      <c r="C225" s="515"/>
      <c r="D225" s="526" t="s">
        <v>64</v>
      </c>
      <c r="E225" s="527"/>
      <c r="F225" s="16">
        <f>INDEX(LINEST(D213:D223,C213:C223^{1,2,3}),3)</f>
        <v>2.2298368298368275E-3</v>
      </c>
      <c r="G225" s="1">
        <v>1</v>
      </c>
      <c r="I225" s="502"/>
      <c r="J225" s="515"/>
      <c r="K225" s="526" t="s">
        <v>64</v>
      </c>
      <c r="L225" s="527"/>
      <c r="M225" s="16">
        <f>INDEX(LINEST(K213:K223,J213:J223^{1,2,3}),3)</f>
        <v>-2.4931026983147759E-3</v>
      </c>
      <c r="N225" s="1">
        <v>1</v>
      </c>
    </row>
    <row r="226" spans="2:14" ht="17.100000000000001" customHeight="1" x14ac:dyDescent="0.25">
      <c r="B226" s="503"/>
      <c r="C226" s="516"/>
      <c r="D226" s="526" t="s">
        <v>65</v>
      </c>
      <c r="E226" s="527"/>
      <c r="F226" s="16">
        <f>INDEX(LINEST(D213:D223,C213:C223^{1,2,3}),2)</f>
        <v>-7.4026806526806435E-6</v>
      </c>
      <c r="G226" s="1" t="s">
        <v>202</v>
      </c>
      <c r="I226" s="503"/>
      <c r="J226" s="516"/>
      <c r="K226" s="526" t="s">
        <v>65</v>
      </c>
      <c r="L226" s="527"/>
      <c r="M226" s="16">
        <f>INDEX(LINEST(K213:K223,J213:J223^{1,2,3}),2)</f>
        <v>6.0212178261250595E-6</v>
      </c>
      <c r="N226" s="1" t="s">
        <v>202</v>
      </c>
    </row>
    <row r="227" spans="2:14" ht="17.100000000000001" customHeight="1" x14ac:dyDescent="0.25">
      <c r="B227" s="503"/>
      <c r="C227" s="516"/>
      <c r="D227" s="526" t="s">
        <v>193</v>
      </c>
      <c r="E227" s="527"/>
      <c r="F227" s="16">
        <f>INDEX(LINEST(D213:D223,C213:C223^{1,2,3}),1)</f>
        <v>5.099067599067592E-9</v>
      </c>
      <c r="G227" s="1" t="s">
        <v>203</v>
      </c>
      <c r="I227" s="503"/>
      <c r="J227" s="516"/>
      <c r="K227" s="526" t="s">
        <v>193</v>
      </c>
      <c r="L227" s="527"/>
      <c r="M227" s="16">
        <f>INDEX(LINEST(K213:K223,J213:J223^{1,2,3}),1)</f>
        <v>-3.9190576302272405E-9</v>
      </c>
      <c r="N227" s="1" t="s">
        <v>203</v>
      </c>
    </row>
    <row r="228" spans="2:14" ht="17.100000000000001" customHeight="1" x14ac:dyDescent="0.25">
      <c r="B228" s="503"/>
      <c r="C228" s="516"/>
      <c r="D228" s="528" t="s">
        <v>71</v>
      </c>
      <c r="E228" s="529"/>
      <c r="F228" s="5">
        <f>RSQ(D213:D223,C213:C223)</f>
        <v>0.51768343677098438</v>
      </c>
      <c r="G228" s="1" t="s">
        <v>72</v>
      </c>
      <c r="I228" s="503"/>
      <c r="J228" s="516"/>
      <c r="K228" s="528" t="s">
        <v>71</v>
      </c>
      <c r="L228" s="529"/>
      <c r="M228" s="5">
        <f>RSQ(K213:K223,J213:J223)</f>
        <v>9.2505808039734766E-2</v>
      </c>
      <c r="N228" s="1" t="s">
        <v>72</v>
      </c>
    </row>
    <row r="229" spans="2:14" ht="17.100000000000001" customHeight="1" x14ac:dyDescent="0.25">
      <c r="B229" s="517"/>
      <c r="C229" s="518"/>
      <c r="D229" s="530" t="s">
        <v>81</v>
      </c>
      <c r="E229" s="531"/>
      <c r="F229" s="5">
        <f t="array" ref="F229">SQRT(SUMSQ(D213:D223-G213:G223)/(COUNT(D213:D223)-COUNT(F224:F227)))</f>
        <v>6.9098543578057503E-2</v>
      </c>
      <c r="G229" s="1" t="s">
        <v>196</v>
      </c>
      <c r="I229" s="517"/>
      <c r="J229" s="518"/>
      <c r="K229" s="530" t="s">
        <v>81</v>
      </c>
      <c r="L229" s="531"/>
      <c r="M229" s="5">
        <f t="array" ref="M229">SQRT(SUMSQ(K213:K223-N213:N223)/(COUNT(K213:K223)-4))</f>
        <v>6.748507532740565E-2</v>
      </c>
      <c r="N229" s="1" t="s">
        <v>196</v>
      </c>
    </row>
    <row r="231" spans="2:14" ht="14.45" customHeight="1" x14ac:dyDescent="0.25">
      <c r="B231" s="501" t="s">
        <v>78</v>
      </c>
      <c r="C231" s="504" t="s">
        <v>79</v>
      </c>
      <c r="D231" s="505"/>
      <c r="E231" s="505"/>
      <c r="F231" s="505"/>
      <c r="G231" s="506"/>
      <c r="I231" s="501" t="s">
        <v>268</v>
      </c>
      <c r="J231" s="540"/>
      <c r="K231" s="540"/>
      <c r="L231" s="540"/>
      <c r="M231" s="540"/>
      <c r="N231" s="541"/>
    </row>
    <row r="232" spans="2:14" x14ac:dyDescent="0.25">
      <c r="B232" s="502"/>
      <c r="C232" s="507"/>
      <c r="D232" s="508"/>
      <c r="E232" s="508"/>
      <c r="F232" s="508"/>
      <c r="G232" s="509"/>
      <c r="I232" s="502"/>
      <c r="J232" s="515"/>
      <c r="K232" s="515"/>
      <c r="L232" s="515"/>
      <c r="M232" s="515"/>
      <c r="N232" s="535"/>
    </row>
    <row r="233" spans="2:14" x14ac:dyDescent="0.25">
      <c r="B233" s="502"/>
      <c r="C233" s="510"/>
      <c r="D233" s="511"/>
      <c r="E233" s="511"/>
      <c r="F233" s="511"/>
      <c r="G233" s="512"/>
      <c r="I233" s="502"/>
      <c r="J233" s="515"/>
      <c r="K233" s="515"/>
      <c r="L233" s="515"/>
      <c r="M233" s="515"/>
      <c r="N233" s="535"/>
    </row>
    <row r="234" spans="2:14" x14ac:dyDescent="0.25">
      <c r="B234" s="502"/>
      <c r="C234" s="497" t="s">
        <v>198</v>
      </c>
      <c r="D234" s="497" t="s">
        <v>199</v>
      </c>
      <c r="E234" s="497" t="s">
        <v>261</v>
      </c>
      <c r="F234" s="497" t="s">
        <v>200</v>
      </c>
      <c r="G234" s="499" t="s">
        <v>58</v>
      </c>
      <c r="I234" s="556" t="s">
        <v>123</v>
      </c>
      <c r="J234" s="557"/>
      <c r="K234" s="559" t="s">
        <v>122</v>
      </c>
      <c r="L234" s="557"/>
      <c r="M234" s="559" t="s">
        <v>124</v>
      </c>
      <c r="N234" s="561"/>
    </row>
    <row r="235" spans="2:14" x14ac:dyDescent="0.25">
      <c r="B235" s="502"/>
      <c r="C235" s="498"/>
      <c r="D235" s="498"/>
      <c r="E235" s="498"/>
      <c r="F235" s="498"/>
      <c r="G235" s="500"/>
      <c r="I235" s="556"/>
      <c r="J235" s="557"/>
      <c r="K235" s="559"/>
      <c r="L235" s="557"/>
      <c r="M235" s="559"/>
      <c r="N235" s="561"/>
    </row>
    <row r="236" spans="2:14" x14ac:dyDescent="0.25">
      <c r="B236" s="503"/>
      <c r="C236" s="498"/>
      <c r="D236" s="498"/>
      <c r="E236" s="498"/>
      <c r="F236" s="498"/>
      <c r="G236" s="500"/>
      <c r="I236" s="556"/>
      <c r="J236" s="558"/>
      <c r="K236" s="560"/>
      <c r="L236" s="558"/>
      <c r="M236" s="560"/>
      <c r="N236" s="562"/>
    </row>
    <row r="237" spans="2:14" ht="14.45" customHeight="1" x14ac:dyDescent="0.25">
      <c r="B237" s="542" t="s">
        <v>267</v>
      </c>
      <c r="C237" s="1" t="b">
        <f>IF(NOT(ISBLANK('Toma de datos'!B47)),'Toma de datos'!B47*LOOKUP('Información general'!$L$53,'Equipamiento y listas'!$J$36:$J$48,'Equipamiento y listas'!$L$36:$L$48)*LOOKUP("psi",'Equipamiento y listas'!$K$47:$K$61,'Equipamiento y listas'!$L$47:$L$61))</f>
        <v>0</v>
      </c>
      <c r="D237" s="5">
        <f>$F$224+$F$225*C237+$F$226*C237*C237+$F$227*C237*C237*C237</f>
        <v>-1.6783216783218258E-3</v>
      </c>
      <c r="E237" s="5">
        <f>IFERROR(ABS(D237-($M$224+$M$225*C237+$M$226*C237*C237+$M$227*C237*C237*C237)),'Equipamiento y listas'!$I$24)</f>
        <v>5.4038848576975385E-2</v>
      </c>
      <c r="F237" s="1" t="b">
        <f>IF(AND(C213&lt;=C237,C237&lt;=C214),MAX(E213:E214),IF(AND(C214&lt;=C237,C237&lt;=C215),MAX(E214:E215),IF(AND(C215&lt;=C237,C237&lt;=C216),MAX(E215:E216),IF(AND(C216&lt;=C237,C237&lt;=C217),MAX(E216:E217),IF(AND(C217&lt;=C237,C237&lt;=C218),MAX(E217:E218),IF(AND(C218&lt;=C237,C237&lt;=C219),MAX(E218:E219),IF(AND(C219&lt;=C237,C237&lt;=C220),MAX(E219:E220),IF(AND(C220&lt;=C237,C237&lt;=C221),MAX(E220:E221),IF(AND(C221&lt;=C237,C237&lt;=C222),MAX(E221:E222),IF(AND(C222&lt;=C237,C237&lt;=C223),MAX(E222:E223)))))))))))</f>
        <v>0</v>
      </c>
      <c r="G237" s="1" t="e">
        <f t="shared" ref="G237:G296" si="12">VLOOKUP(F237,$E$213:$F$223,2)</f>
        <v>#N/A</v>
      </c>
      <c r="I237" s="542" t="s">
        <v>267</v>
      </c>
      <c r="J237" s="546"/>
      <c r="K237" s="547"/>
      <c r="L237" s="547"/>
      <c r="M237" s="547"/>
      <c r="N237" s="548"/>
    </row>
    <row r="238" spans="2:14" x14ac:dyDescent="0.25">
      <c r="B238" s="543"/>
      <c r="C238" s="1" t="b">
        <f>IF(NOT(ISBLANK('Toma de datos'!B48)),'Toma de datos'!B48*LOOKUP('Información general'!$L$53,'Equipamiento y listas'!$J$36:$J$48,'Equipamiento y listas'!$L$36:$L$48)*LOOKUP("psi",'Equipamiento y listas'!$K$47:$K$61,'Equipamiento y listas'!$L$47:$L$61))</f>
        <v>0</v>
      </c>
      <c r="D238" s="5">
        <f t="shared" ref="D238:D296" si="13">$F$224+$F$225*C238+$F$226*C238*C238+$F$227*C238*C238*C238</f>
        <v>-1.6783216783218258E-3</v>
      </c>
      <c r="E238" s="5">
        <f>IFERROR(ABS(D238-($M$224+$M$225*C238+$M$226*C238*C238+$M$227*C238*C238*C238)),'Equipamiento y listas'!$I$24)</f>
        <v>5.4038848576975385E-2</v>
      </c>
      <c r="F238" s="1" t="b">
        <f t="shared" ref="F238:F296" si="14">IF(AND($C$213&lt;=C238,C238&lt;=$C$214),MAX($E$213:$E$214),IF(AND($C$214&lt;=C238,C238&lt;=$C$215),MAX($E$214:$E$215),IF(AND($C$215&lt;=C238,C238&lt;=$C$216),MAX($E$215:$E$216),IF(AND($C$216&lt;=C238,C238&lt;=$C$217),MAX($E$216:$E$217),IF(AND($C$217&lt;=C238,C238&lt;=$C$218),MAX($E$217:$E$218),IF(AND($C$218&lt;=C238,C238&lt;=$C$219),MAX($E$218:$E$219),IF(AND($C$219&lt;=C238,C238&lt;=$C$220),MAX($E$219:$E$220),IF(AND($C$220&lt;=C238,C238&lt;=$C$221),MAX($E$220:$E$221),IF(AND($C$221&lt;=C238,C238&lt;=$C$222),MAX($E$221:$E$222),IF(AND($C$222&lt;=C238,C238&lt;=$C$223),MAX($E$222:$E$223)))))))))))</f>
        <v>0</v>
      </c>
      <c r="G238" s="1" t="e">
        <f t="shared" si="12"/>
        <v>#N/A</v>
      </c>
      <c r="I238" s="543"/>
      <c r="J238" s="549"/>
      <c r="K238" s="550"/>
      <c r="L238" s="550"/>
      <c r="M238" s="550"/>
      <c r="N238" s="551"/>
    </row>
    <row r="239" spans="2:14" x14ac:dyDescent="0.25">
      <c r="B239" s="543"/>
      <c r="C239" s="1" t="b">
        <f>IF(NOT(ISBLANK('Toma de datos'!B49)),'Toma de datos'!B49*LOOKUP('Información general'!$L$53,'Equipamiento y listas'!$J$36:$J$48,'Equipamiento y listas'!$L$36:$L$48)*LOOKUP("psi",'Equipamiento y listas'!$K$47:$K$61,'Equipamiento y listas'!$L$47:$L$61))</f>
        <v>0</v>
      </c>
      <c r="D239" s="5">
        <f t="shared" si="13"/>
        <v>-1.6783216783218258E-3</v>
      </c>
      <c r="E239" s="5">
        <f>IFERROR(ABS(D239-($M$224+$M$225*C239+$M$226*C239*C239+$M$227*C239*C239*C239)),'Equipamiento y listas'!$I$24)</f>
        <v>5.4038848576975385E-2</v>
      </c>
      <c r="F239" s="1" t="b">
        <f t="shared" si="14"/>
        <v>0</v>
      </c>
      <c r="G239" s="1" t="e">
        <f t="shared" si="12"/>
        <v>#N/A</v>
      </c>
      <c r="I239" s="543"/>
      <c r="J239" s="549"/>
      <c r="K239" s="550"/>
      <c r="L239" s="550"/>
      <c r="M239" s="550"/>
      <c r="N239" s="551"/>
    </row>
    <row r="240" spans="2:14" x14ac:dyDescent="0.25">
      <c r="B240" s="543"/>
      <c r="C240" s="1" t="b">
        <f>IF(NOT(ISBLANK('Toma de datos'!B50)),'Toma de datos'!B50*LOOKUP('Información general'!$L$53,'Equipamiento y listas'!$J$36:$J$48,'Equipamiento y listas'!$L$36:$L$48)*LOOKUP("psi",'Equipamiento y listas'!$K$47:$K$61,'Equipamiento y listas'!$L$47:$L$61))</f>
        <v>0</v>
      </c>
      <c r="D240" s="5">
        <f t="shared" si="13"/>
        <v>-1.6783216783218258E-3</v>
      </c>
      <c r="E240" s="5">
        <f>IFERROR(ABS(D240-($M$224+$M$225*C240+$M$226*C240*C240+$M$227*C240*C240*C240)),'Equipamiento y listas'!$I$24)</f>
        <v>5.4038848576975385E-2</v>
      </c>
      <c r="F240" s="1" t="b">
        <f t="shared" si="14"/>
        <v>0</v>
      </c>
      <c r="G240" s="1" t="e">
        <f t="shared" si="12"/>
        <v>#N/A</v>
      </c>
      <c r="I240" s="543"/>
      <c r="J240" s="549"/>
      <c r="K240" s="550"/>
      <c r="L240" s="550"/>
      <c r="M240" s="550"/>
      <c r="N240" s="551"/>
    </row>
    <row r="241" spans="2:14" x14ac:dyDescent="0.25">
      <c r="B241" s="543"/>
      <c r="C241" s="1" t="b">
        <f>IF(NOT(ISBLANK('Toma de datos'!B51)),'Toma de datos'!B51*LOOKUP('Información general'!$L$53,'Equipamiento y listas'!$J$36:$J$48,'Equipamiento y listas'!$L$36:$L$48)*LOOKUP("psi",'Equipamiento y listas'!$K$47:$K$61,'Equipamiento y listas'!$L$47:$L$61))</f>
        <v>0</v>
      </c>
      <c r="D241" s="5">
        <f t="shared" si="13"/>
        <v>-1.6783216783218258E-3</v>
      </c>
      <c r="E241" s="5">
        <f>IFERROR(ABS(D241-($M$224+$M$225*C241+$M$226*C241*C241+$M$227*C241*C241*C241)),'Equipamiento y listas'!$I$24)</f>
        <v>5.4038848576975385E-2</v>
      </c>
      <c r="F241" s="1" t="b">
        <f t="shared" si="14"/>
        <v>0</v>
      </c>
      <c r="G241" s="1" t="e">
        <f t="shared" si="12"/>
        <v>#N/A</v>
      </c>
      <c r="I241" s="543"/>
      <c r="J241" s="549"/>
      <c r="K241" s="550"/>
      <c r="L241" s="550"/>
      <c r="M241" s="550"/>
      <c r="N241" s="551"/>
    </row>
    <row r="242" spans="2:14" x14ac:dyDescent="0.25">
      <c r="B242" s="543"/>
      <c r="C242" s="1" t="b">
        <f>IF(NOT(ISBLANK('Toma de datos'!B52)),'Toma de datos'!B52*LOOKUP('Información general'!$L$53,'Equipamiento y listas'!$J$36:$J$48,'Equipamiento y listas'!$L$36:$L$48)*LOOKUP("psi",'Equipamiento y listas'!$K$47:$K$61,'Equipamiento y listas'!$L$47:$L$61))</f>
        <v>0</v>
      </c>
      <c r="D242" s="5">
        <f t="shared" si="13"/>
        <v>-1.6783216783218258E-3</v>
      </c>
      <c r="E242" s="5">
        <f>IFERROR(ABS(D242-($M$224+$M$225*C242+$M$226*C242*C242+$M$227*C242*C242*C242)),'Equipamiento y listas'!$I$24)</f>
        <v>5.4038848576975385E-2</v>
      </c>
      <c r="F242" s="1" t="b">
        <f t="shared" si="14"/>
        <v>0</v>
      </c>
      <c r="G242" s="1" t="e">
        <f t="shared" si="12"/>
        <v>#N/A</v>
      </c>
      <c r="I242" s="543"/>
      <c r="J242" s="549"/>
      <c r="K242" s="550"/>
      <c r="L242" s="550"/>
      <c r="M242" s="550"/>
      <c r="N242" s="551"/>
    </row>
    <row r="243" spans="2:14" x14ac:dyDescent="0.25">
      <c r="B243" s="543"/>
      <c r="C243" s="1" t="b">
        <f>IF(NOT(ISBLANK('Toma de datos'!B53)),'Toma de datos'!B53*LOOKUP('Información general'!$L$53,'Equipamiento y listas'!$J$36:$J$48,'Equipamiento y listas'!$L$36:$L$48)*LOOKUP("psi",'Equipamiento y listas'!$K$47:$K$61,'Equipamiento y listas'!$L$47:$L$61))</f>
        <v>0</v>
      </c>
      <c r="D243" s="5">
        <f t="shared" si="13"/>
        <v>-1.6783216783218258E-3</v>
      </c>
      <c r="E243" s="5">
        <f>IFERROR(ABS(D243-($M$224+$M$225*C243+$M$226*C243*C243+$M$227*C243*C243*C243)),'Equipamiento y listas'!$I$24)</f>
        <v>5.4038848576975385E-2</v>
      </c>
      <c r="F243" s="1" t="b">
        <f t="shared" si="14"/>
        <v>0</v>
      </c>
      <c r="G243" s="1" t="e">
        <f t="shared" si="12"/>
        <v>#N/A</v>
      </c>
      <c r="I243" s="543"/>
      <c r="J243" s="549"/>
      <c r="K243" s="550"/>
      <c r="L243" s="550"/>
      <c r="M243" s="550"/>
      <c r="N243" s="551"/>
    </row>
    <row r="244" spans="2:14" x14ac:dyDescent="0.25">
      <c r="B244" s="543"/>
      <c r="C244" s="1" t="b">
        <f>IF(NOT(ISBLANK('Toma de datos'!B54)),'Toma de datos'!B54*LOOKUP('Información general'!$L$53,'Equipamiento y listas'!$J$36:$J$48,'Equipamiento y listas'!$L$36:$L$48)*LOOKUP("psi",'Equipamiento y listas'!$K$47:$K$61,'Equipamiento y listas'!$L$47:$L$61))</f>
        <v>0</v>
      </c>
      <c r="D244" s="5">
        <f t="shared" si="13"/>
        <v>-1.6783216783218258E-3</v>
      </c>
      <c r="E244" s="5">
        <f>IFERROR(ABS(D244-($M$224+$M$225*C244+$M$226*C244*C244+$M$227*C244*C244*C244)),'Equipamiento y listas'!$I$24)</f>
        <v>5.4038848576975385E-2</v>
      </c>
      <c r="F244" s="1" t="b">
        <f t="shared" si="14"/>
        <v>0</v>
      </c>
      <c r="G244" s="1" t="e">
        <f t="shared" si="12"/>
        <v>#N/A</v>
      </c>
      <c r="I244" s="543"/>
      <c r="J244" s="549"/>
      <c r="K244" s="550"/>
      <c r="L244" s="550"/>
      <c r="M244" s="550"/>
      <c r="N244" s="551"/>
    </row>
    <row r="245" spans="2:14" x14ac:dyDescent="0.25">
      <c r="B245" s="543"/>
      <c r="C245" s="1" t="b">
        <f>IF(NOT(ISBLANK('Toma de datos'!B55)),'Toma de datos'!B55*LOOKUP('Información general'!$L$53,'Equipamiento y listas'!$J$36:$J$48,'Equipamiento y listas'!$L$36:$L$48)*LOOKUP("psi",'Equipamiento y listas'!$K$47:$K$61,'Equipamiento y listas'!$L$47:$L$61))</f>
        <v>0</v>
      </c>
      <c r="D245" s="5">
        <f t="shared" si="13"/>
        <v>-1.6783216783218258E-3</v>
      </c>
      <c r="E245" s="5">
        <f>IFERROR(ABS(D245-($M$224+$M$225*C245+$M$226*C245*C245+$M$227*C245*C245*C245)),'Equipamiento y listas'!$I$24)</f>
        <v>5.4038848576975385E-2</v>
      </c>
      <c r="F245" s="1" t="b">
        <f t="shared" si="14"/>
        <v>0</v>
      </c>
      <c r="G245" s="1" t="e">
        <f t="shared" si="12"/>
        <v>#N/A</v>
      </c>
      <c r="I245" s="543"/>
      <c r="J245" s="549"/>
      <c r="K245" s="550"/>
      <c r="L245" s="550"/>
      <c r="M245" s="550"/>
      <c r="N245" s="551"/>
    </row>
    <row r="246" spans="2:14" ht="15.75" thickBot="1" x14ac:dyDescent="0.3">
      <c r="B246" s="544"/>
      <c r="C246" s="27" t="b">
        <f>IF(NOT(ISBLANK('Toma de datos'!B56)),'Toma de datos'!B56*LOOKUP('Información general'!$L$53,'Equipamiento y listas'!$J$36:$J$48,'Equipamiento y listas'!$L$36:$L$48)*LOOKUP("psi",'Equipamiento y listas'!$K$47:$K$61,'Equipamiento y listas'!$L$47:$L$61))</f>
        <v>0</v>
      </c>
      <c r="D246" s="28">
        <f t="shared" si="13"/>
        <v>-1.6783216783218258E-3</v>
      </c>
      <c r="E246" s="28">
        <f>IFERROR(ABS(D246-($M$224+$M$225*C246+$M$226*C246*C246+$M$227*C246*C246*C246)),'Equipamiento y listas'!$I$24)</f>
        <v>5.4038848576975385E-2</v>
      </c>
      <c r="F246" s="27" t="b">
        <f t="shared" si="14"/>
        <v>0</v>
      </c>
      <c r="G246" s="27" t="e">
        <f t="shared" si="12"/>
        <v>#N/A</v>
      </c>
      <c r="I246" s="544"/>
      <c r="J246" s="552"/>
      <c r="K246" s="553"/>
      <c r="L246" s="553"/>
      <c r="M246" s="553"/>
      <c r="N246" s="554"/>
    </row>
    <row r="247" spans="2:14" ht="14.45" customHeight="1" x14ac:dyDescent="0.25">
      <c r="B247" s="542" t="s">
        <v>260</v>
      </c>
      <c r="C247" s="31" t="b">
        <f>IF(NOT(ISBLANK('Toma de datos'!D47)),'Toma de datos'!D47*LOOKUP('Información general'!$L$53,'Equipamiento y listas'!$J$36:$J$48,'Equipamiento y listas'!$L$36:$L$48)*LOOKUP("psi",'Equipamiento y listas'!$K$47:$K$61,'Equipamiento y listas'!$L$47:$L$61))</f>
        <v>0</v>
      </c>
      <c r="D247" s="32">
        <f t="shared" si="13"/>
        <v>-1.6783216783218258E-3</v>
      </c>
      <c r="E247" s="32">
        <f>IFERROR(ABS(D247-($M$224+$M$225*C247+$M$226*C247*C247+$M$227*C247*C247*C247)),'Equipamiento y listas'!$I$24)</f>
        <v>5.4038848576975385E-2</v>
      </c>
      <c r="F247" s="31" t="b">
        <f t="shared" si="14"/>
        <v>0</v>
      </c>
      <c r="G247" s="31" t="e">
        <f t="shared" si="12"/>
        <v>#N/A</v>
      </c>
      <c r="I247" s="542" t="s">
        <v>260</v>
      </c>
      <c r="J247" s="546"/>
      <c r="K247" s="547"/>
      <c r="L247" s="547"/>
      <c r="M247" s="547"/>
      <c r="N247" s="548"/>
    </row>
    <row r="248" spans="2:14" x14ac:dyDescent="0.25">
      <c r="B248" s="543"/>
      <c r="C248" s="1" t="b">
        <f>IF(NOT(ISBLANK('Toma de datos'!D48)),'Toma de datos'!D48*LOOKUP('Información general'!$L$53,'Equipamiento y listas'!$J$36:$J$48,'Equipamiento y listas'!$L$36:$L$48)*LOOKUP("psi",'Equipamiento y listas'!$K$47:$K$61,'Equipamiento y listas'!$L$47:$L$61))</f>
        <v>0</v>
      </c>
      <c r="D248" s="5">
        <f t="shared" si="13"/>
        <v>-1.6783216783218258E-3</v>
      </c>
      <c r="E248" s="5">
        <f>IFERROR(ABS(D248-($M$224+$M$225*C248+$M$226*C248*C248+$M$227*C248*C248*C248)),'Equipamiento y listas'!$I$24)</f>
        <v>5.4038848576975385E-2</v>
      </c>
      <c r="F248" s="1" t="b">
        <f t="shared" si="14"/>
        <v>0</v>
      </c>
      <c r="G248" s="1" t="e">
        <f t="shared" si="12"/>
        <v>#N/A</v>
      </c>
      <c r="I248" s="543"/>
      <c r="J248" s="549"/>
      <c r="K248" s="550"/>
      <c r="L248" s="550"/>
      <c r="M248" s="550"/>
      <c r="N248" s="551"/>
    </row>
    <row r="249" spans="2:14" x14ac:dyDescent="0.25">
      <c r="B249" s="543"/>
      <c r="C249" s="1" t="b">
        <f>IF(NOT(ISBLANK('Toma de datos'!D49)),'Toma de datos'!D49*LOOKUP('Información general'!$L$53,'Equipamiento y listas'!$J$36:$J$48,'Equipamiento y listas'!$L$36:$L$48)*LOOKUP("psi",'Equipamiento y listas'!$K$47:$K$61,'Equipamiento y listas'!$L$47:$L$61))</f>
        <v>0</v>
      </c>
      <c r="D249" s="5">
        <f t="shared" si="13"/>
        <v>-1.6783216783218258E-3</v>
      </c>
      <c r="E249" s="5">
        <f>IFERROR(ABS(D249-($M$224+$M$225*C249+$M$226*C249*C249+$M$227*C249*C249*C249)),'Equipamiento y listas'!$I$24)</f>
        <v>5.4038848576975385E-2</v>
      </c>
      <c r="F249" s="1" t="b">
        <f t="shared" si="14"/>
        <v>0</v>
      </c>
      <c r="G249" s="1" t="e">
        <f t="shared" si="12"/>
        <v>#N/A</v>
      </c>
      <c r="I249" s="543"/>
      <c r="J249" s="549"/>
      <c r="K249" s="550"/>
      <c r="L249" s="550"/>
      <c r="M249" s="550"/>
      <c r="N249" s="551"/>
    </row>
    <row r="250" spans="2:14" x14ac:dyDescent="0.25">
      <c r="B250" s="543"/>
      <c r="C250" s="1" t="b">
        <f>IF(NOT(ISBLANK('Toma de datos'!D50)),'Toma de datos'!D50*LOOKUP('Información general'!$L$53,'Equipamiento y listas'!$J$36:$J$48,'Equipamiento y listas'!$L$36:$L$48)*LOOKUP("psi",'Equipamiento y listas'!$K$47:$K$61,'Equipamiento y listas'!$L$47:$L$61))</f>
        <v>0</v>
      </c>
      <c r="D250" s="5">
        <f t="shared" si="13"/>
        <v>-1.6783216783218258E-3</v>
      </c>
      <c r="E250" s="5">
        <f>IFERROR(ABS(D250-($M$224+$M$225*C250+$M$226*C250*C250+$M$227*C250*C250*C250)),'Equipamiento y listas'!$I$24)</f>
        <v>5.4038848576975385E-2</v>
      </c>
      <c r="F250" s="1" t="b">
        <f t="shared" si="14"/>
        <v>0</v>
      </c>
      <c r="G250" s="1" t="e">
        <f t="shared" si="12"/>
        <v>#N/A</v>
      </c>
      <c r="I250" s="543"/>
      <c r="J250" s="549"/>
      <c r="K250" s="550"/>
      <c r="L250" s="550"/>
      <c r="M250" s="550"/>
      <c r="N250" s="551"/>
    </row>
    <row r="251" spans="2:14" x14ac:dyDescent="0.25">
      <c r="B251" s="543"/>
      <c r="C251" s="1" t="b">
        <f>IF(NOT(ISBLANK('Toma de datos'!D51)),'Toma de datos'!D51*LOOKUP('Información general'!$L$53,'Equipamiento y listas'!$J$36:$J$48,'Equipamiento y listas'!$L$36:$L$48)*LOOKUP("psi",'Equipamiento y listas'!$K$47:$K$61,'Equipamiento y listas'!$L$47:$L$61))</f>
        <v>0</v>
      </c>
      <c r="D251" s="5">
        <f t="shared" si="13"/>
        <v>-1.6783216783218258E-3</v>
      </c>
      <c r="E251" s="5">
        <f>IFERROR(ABS(D251-($M$224+$M$225*C251+$M$226*C251*C251+$M$227*C251*C251*C251)),'Equipamiento y listas'!$I$24)</f>
        <v>5.4038848576975385E-2</v>
      </c>
      <c r="F251" s="1" t="b">
        <f t="shared" si="14"/>
        <v>0</v>
      </c>
      <c r="G251" s="1" t="e">
        <f t="shared" si="12"/>
        <v>#N/A</v>
      </c>
      <c r="I251" s="543"/>
      <c r="J251" s="549"/>
      <c r="K251" s="550"/>
      <c r="L251" s="550"/>
      <c r="M251" s="550"/>
      <c r="N251" s="551"/>
    </row>
    <row r="252" spans="2:14" x14ac:dyDescent="0.25">
      <c r="B252" s="543"/>
      <c r="C252" s="1" t="b">
        <f>IF(NOT(ISBLANK('Toma de datos'!D52)),'Toma de datos'!D52*LOOKUP('Información general'!$L$53,'Equipamiento y listas'!$J$36:$J$48,'Equipamiento y listas'!$L$36:$L$48)*LOOKUP("psi",'Equipamiento y listas'!$K$47:$K$61,'Equipamiento y listas'!$L$47:$L$61))</f>
        <v>0</v>
      </c>
      <c r="D252" s="5">
        <f t="shared" si="13"/>
        <v>-1.6783216783218258E-3</v>
      </c>
      <c r="E252" s="5">
        <f>IFERROR(ABS(D252-($M$224+$M$225*C252+$M$226*C252*C252+$M$227*C252*C252*C252)),'Equipamiento y listas'!$I$24)</f>
        <v>5.4038848576975385E-2</v>
      </c>
      <c r="F252" s="1" t="b">
        <f t="shared" si="14"/>
        <v>0</v>
      </c>
      <c r="G252" s="1" t="e">
        <f t="shared" si="12"/>
        <v>#N/A</v>
      </c>
      <c r="I252" s="543"/>
      <c r="J252" s="549"/>
      <c r="K252" s="550"/>
      <c r="L252" s="550"/>
      <c r="M252" s="550"/>
      <c r="N252" s="551"/>
    </row>
    <row r="253" spans="2:14" x14ac:dyDescent="0.25">
      <c r="B253" s="543"/>
      <c r="C253" s="1" t="b">
        <f>IF(NOT(ISBLANK('Toma de datos'!D53)),'Toma de datos'!D53*LOOKUP('Información general'!$L$53,'Equipamiento y listas'!$J$36:$J$48,'Equipamiento y listas'!$L$36:$L$48)*LOOKUP("psi",'Equipamiento y listas'!$K$47:$K$61,'Equipamiento y listas'!$L$47:$L$61))</f>
        <v>0</v>
      </c>
      <c r="D253" s="5">
        <f t="shared" si="13"/>
        <v>-1.6783216783218258E-3</v>
      </c>
      <c r="E253" s="5">
        <f>IFERROR(ABS(D253-($M$224+$M$225*C253+$M$226*C253*C253+$M$227*C253*C253*C253)),'Equipamiento y listas'!$I$24)</f>
        <v>5.4038848576975385E-2</v>
      </c>
      <c r="F253" s="1" t="b">
        <f t="shared" si="14"/>
        <v>0</v>
      </c>
      <c r="G253" s="1" t="e">
        <f t="shared" si="12"/>
        <v>#N/A</v>
      </c>
      <c r="I253" s="543"/>
      <c r="J253" s="549"/>
      <c r="K253" s="550"/>
      <c r="L253" s="550"/>
      <c r="M253" s="550"/>
      <c r="N253" s="551"/>
    </row>
    <row r="254" spans="2:14" x14ac:dyDescent="0.25">
      <c r="B254" s="543"/>
      <c r="C254" s="1" t="b">
        <f>IF(NOT(ISBLANK('Toma de datos'!D54)),'Toma de datos'!D54*LOOKUP('Información general'!$L$53,'Equipamiento y listas'!$J$36:$J$48,'Equipamiento y listas'!$L$36:$L$48)*LOOKUP("psi",'Equipamiento y listas'!$K$47:$K$61,'Equipamiento y listas'!$L$47:$L$61))</f>
        <v>0</v>
      </c>
      <c r="D254" s="5">
        <f t="shared" si="13"/>
        <v>-1.6783216783218258E-3</v>
      </c>
      <c r="E254" s="5">
        <f>IFERROR(ABS(D254-($M$224+$M$225*C254+$M$226*C254*C254+$M$227*C254*C254*C254)),'Equipamiento y listas'!$I$24)</f>
        <v>5.4038848576975385E-2</v>
      </c>
      <c r="F254" s="1" t="b">
        <f t="shared" si="14"/>
        <v>0</v>
      </c>
      <c r="G254" s="1" t="e">
        <f t="shared" si="12"/>
        <v>#N/A</v>
      </c>
      <c r="I254" s="543"/>
      <c r="J254" s="549"/>
      <c r="K254" s="550"/>
      <c r="L254" s="550"/>
      <c r="M254" s="550"/>
      <c r="N254" s="551"/>
    </row>
    <row r="255" spans="2:14" x14ac:dyDescent="0.25">
      <c r="B255" s="543"/>
      <c r="C255" s="1" t="b">
        <f>IF(NOT(ISBLANK('Toma de datos'!D55)),'Toma de datos'!D55*LOOKUP('Información general'!$L$53,'Equipamiento y listas'!$J$36:$J$48,'Equipamiento y listas'!$L$36:$L$48)*LOOKUP("psi",'Equipamiento y listas'!$K$47:$K$61,'Equipamiento y listas'!$L$47:$L$61))</f>
        <v>0</v>
      </c>
      <c r="D255" s="5">
        <f t="shared" si="13"/>
        <v>-1.6783216783218258E-3</v>
      </c>
      <c r="E255" s="5">
        <f>IFERROR(ABS(D255-($M$224+$M$225*C255+$M$226*C255*C255+$M$227*C255*C255*C255)),'Equipamiento y listas'!$I$24)</f>
        <v>5.4038848576975385E-2</v>
      </c>
      <c r="F255" s="1" t="b">
        <f t="shared" si="14"/>
        <v>0</v>
      </c>
      <c r="G255" s="1" t="e">
        <f t="shared" si="12"/>
        <v>#N/A</v>
      </c>
      <c r="I255" s="543"/>
      <c r="J255" s="549"/>
      <c r="K255" s="550"/>
      <c r="L255" s="550"/>
      <c r="M255" s="550"/>
      <c r="N255" s="551"/>
    </row>
    <row r="256" spans="2:14" ht="15.75" thickBot="1" x14ac:dyDescent="0.3">
      <c r="B256" s="544"/>
      <c r="C256" s="33" t="b">
        <f>IF(NOT(ISBLANK('Toma de datos'!D56)),'Toma de datos'!D56*LOOKUP('Información general'!$L$53,'Equipamiento y listas'!$J$36:$J$48,'Equipamiento y listas'!$L$36:$L$48)*LOOKUP("psi",'Equipamiento y listas'!$K$47:$K$61,'Equipamiento y listas'!$L$47:$L$61))</f>
        <v>0</v>
      </c>
      <c r="D256" s="34">
        <f t="shared" si="13"/>
        <v>-1.6783216783218258E-3</v>
      </c>
      <c r="E256" s="34">
        <f>IFERROR(ABS(D256-($M$224+$M$225*C256+$M$226*C256*C256+$M$227*C256*C256*C256)),'Equipamiento y listas'!$I$24)</f>
        <v>5.4038848576975385E-2</v>
      </c>
      <c r="F256" s="33" t="b">
        <f t="shared" si="14"/>
        <v>0</v>
      </c>
      <c r="G256" s="33" t="e">
        <f t="shared" si="12"/>
        <v>#N/A</v>
      </c>
      <c r="I256" s="544"/>
      <c r="J256" s="552"/>
      <c r="K256" s="553"/>
      <c r="L256" s="553"/>
      <c r="M256" s="553"/>
      <c r="N256" s="554"/>
    </row>
    <row r="257" spans="2:14" ht="14.45" customHeight="1" x14ac:dyDescent="0.25">
      <c r="B257" s="542" t="s">
        <v>265</v>
      </c>
      <c r="C257" s="31" t="b">
        <f>IF(NOT(ISBLANK('Toma de datos'!F47)),'Toma de datos'!F47*LOOKUP('Información general'!$L$53,'Equipamiento y listas'!$J$36:$J$48,'Equipamiento y listas'!$L$36:$L$48)*LOOKUP("psi",'Equipamiento y listas'!$K$47:$K$61,'Equipamiento y listas'!$L$47:$L$61))</f>
        <v>0</v>
      </c>
      <c r="D257" s="32">
        <f t="shared" si="13"/>
        <v>-1.6783216783218258E-3</v>
      </c>
      <c r="E257" s="32">
        <f>IFERROR(ABS(D257-($M$224+$M$225*C257+$M$226*C257*C257+$M$227*C257*C257*C257)),'Equipamiento y listas'!$I$24)</f>
        <v>5.4038848576975385E-2</v>
      </c>
      <c r="F257" s="31" t="b">
        <f t="shared" si="14"/>
        <v>0</v>
      </c>
      <c r="G257" s="31" t="e">
        <f t="shared" si="12"/>
        <v>#N/A</v>
      </c>
      <c r="I257" s="542" t="s">
        <v>265</v>
      </c>
      <c r="J257" s="546"/>
      <c r="K257" s="547"/>
      <c r="L257" s="547"/>
      <c r="M257" s="547"/>
      <c r="N257" s="548"/>
    </row>
    <row r="258" spans="2:14" x14ac:dyDescent="0.25">
      <c r="B258" s="543"/>
      <c r="C258" s="1" t="b">
        <f>IF(NOT(ISBLANK('Toma de datos'!F48)),'Toma de datos'!F48*LOOKUP('Información general'!$L$53,'Equipamiento y listas'!$J$36:$J$48,'Equipamiento y listas'!$L$36:$L$48)*LOOKUP("psi",'Equipamiento y listas'!$K$47:$K$61,'Equipamiento y listas'!$L$47:$L$61))</f>
        <v>0</v>
      </c>
      <c r="D258" s="5">
        <f t="shared" si="13"/>
        <v>-1.6783216783218258E-3</v>
      </c>
      <c r="E258" s="5">
        <f>IFERROR(ABS(D258-($M$224+$M$225*C258+$M$226*C258*C258+$M$227*C258*C258*C258)),'Equipamiento y listas'!$I$24)</f>
        <v>5.4038848576975385E-2</v>
      </c>
      <c r="F258" s="1" t="b">
        <f t="shared" si="14"/>
        <v>0</v>
      </c>
      <c r="G258" s="1" t="e">
        <f t="shared" si="12"/>
        <v>#N/A</v>
      </c>
      <c r="I258" s="543"/>
      <c r="J258" s="549"/>
      <c r="K258" s="550"/>
      <c r="L258" s="550"/>
      <c r="M258" s="550"/>
      <c r="N258" s="551"/>
    </row>
    <row r="259" spans="2:14" x14ac:dyDescent="0.25">
      <c r="B259" s="543"/>
      <c r="C259" s="1" t="b">
        <f>IF(NOT(ISBLANK('Toma de datos'!F49)),'Toma de datos'!F49*LOOKUP('Información general'!$L$53,'Equipamiento y listas'!$J$36:$J$48,'Equipamiento y listas'!$L$36:$L$48)*LOOKUP("psi",'Equipamiento y listas'!$K$47:$K$61,'Equipamiento y listas'!$L$47:$L$61))</f>
        <v>0</v>
      </c>
      <c r="D259" s="5">
        <f t="shared" si="13"/>
        <v>-1.6783216783218258E-3</v>
      </c>
      <c r="E259" s="5">
        <f>IFERROR(ABS(D259-($M$224+$M$225*C259+$M$226*C259*C259+$M$227*C259*C259*C259)),'Equipamiento y listas'!$I$24)</f>
        <v>5.4038848576975385E-2</v>
      </c>
      <c r="F259" s="1" t="b">
        <f t="shared" si="14"/>
        <v>0</v>
      </c>
      <c r="G259" s="1" t="e">
        <f t="shared" si="12"/>
        <v>#N/A</v>
      </c>
      <c r="I259" s="543"/>
      <c r="J259" s="549"/>
      <c r="K259" s="550"/>
      <c r="L259" s="550"/>
      <c r="M259" s="550"/>
      <c r="N259" s="551"/>
    </row>
    <row r="260" spans="2:14" x14ac:dyDescent="0.25">
      <c r="B260" s="543"/>
      <c r="C260" s="1" t="b">
        <f>IF(NOT(ISBLANK('Toma de datos'!F50)),'Toma de datos'!F50*LOOKUP('Información general'!$L$53,'Equipamiento y listas'!$J$36:$J$48,'Equipamiento y listas'!$L$36:$L$48)*LOOKUP("psi",'Equipamiento y listas'!$K$47:$K$61,'Equipamiento y listas'!$L$47:$L$61))</f>
        <v>0</v>
      </c>
      <c r="D260" s="5">
        <f t="shared" si="13"/>
        <v>-1.6783216783218258E-3</v>
      </c>
      <c r="E260" s="5">
        <f>IFERROR(ABS(D260-($M$224+$M$225*C260+$M$226*C260*C260+$M$227*C260*C260*C260)),'Equipamiento y listas'!$I$24)</f>
        <v>5.4038848576975385E-2</v>
      </c>
      <c r="F260" s="1" t="b">
        <f t="shared" si="14"/>
        <v>0</v>
      </c>
      <c r="G260" s="1" t="e">
        <f t="shared" si="12"/>
        <v>#N/A</v>
      </c>
      <c r="I260" s="543"/>
      <c r="J260" s="549"/>
      <c r="K260" s="550"/>
      <c r="L260" s="550"/>
      <c r="M260" s="550"/>
      <c r="N260" s="551"/>
    </row>
    <row r="261" spans="2:14" x14ac:dyDescent="0.25">
      <c r="B261" s="543"/>
      <c r="C261" s="1" t="b">
        <f>IF(NOT(ISBLANK('Toma de datos'!F51)),'Toma de datos'!F51*LOOKUP('Información general'!$L$53,'Equipamiento y listas'!$J$36:$J$48,'Equipamiento y listas'!$L$36:$L$48)*LOOKUP("psi",'Equipamiento y listas'!$K$47:$K$61,'Equipamiento y listas'!$L$47:$L$61))</f>
        <v>0</v>
      </c>
      <c r="D261" s="5">
        <f t="shared" si="13"/>
        <v>-1.6783216783218258E-3</v>
      </c>
      <c r="E261" s="5">
        <f>IFERROR(ABS(D261-($M$224+$M$225*C261+$M$226*C261*C261+$M$227*C261*C261*C261)),'Equipamiento y listas'!$I$24)</f>
        <v>5.4038848576975385E-2</v>
      </c>
      <c r="F261" s="1" t="b">
        <f t="shared" si="14"/>
        <v>0</v>
      </c>
      <c r="G261" s="1" t="e">
        <f t="shared" si="12"/>
        <v>#N/A</v>
      </c>
      <c r="I261" s="543"/>
      <c r="J261" s="549"/>
      <c r="K261" s="550"/>
      <c r="L261" s="550"/>
      <c r="M261" s="550"/>
      <c r="N261" s="551"/>
    </row>
    <row r="262" spans="2:14" x14ac:dyDescent="0.25">
      <c r="B262" s="543"/>
      <c r="C262" s="1" t="b">
        <f>IF(NOT(ISBLANK('Toma de datos'!F52)),'Toma de datos'!F52*LOOKUP('Información general'!$L$53,'Equipamiento y listas'!$J$36:$J$48,'Equipamiento y listas'!$L$36:$L$48)*LOOKUP("psi",'Equipamiento y listas'!$K$47:$K$61,'Equipamiento y listas'!$L$47:$L$61))</f>
        <v>0</v>
      </c>
      <c r="D262" s="5">
        <f t="shared" si="13"/>
        <v>-1.6783216783218258E-3</v>
      </c>
      <c r="E262" s="5">
        <f>IFERROR(ABS(D262-($M$224+$M$225*C262+$M$226*C262*C262+$M$227*C262*C262*C262)),'Equipamiento y listas'!$I$24)</f>
        <v>5.4038848576975385E-2</v>
      </c>
      <c r="F262" s="1" t="b">
        <f t="shared" si="14"/>
        <v>0</v>
      </c>
      <c r="G262" s="1" t="e">
        <f t="shared" si="12"/>
        <v>#N/A</v>
      </c>
      <c r="I262" s="543"/>
      <c r="J262" s="549"/>
      <c r="K262" s="550"/>
      <c r="L262" s="550"/>
      <c r="M262" s="550"/>
      <c r="N262" s="551"/>
    </row>
    <row r="263" spans="2:14" x14ac:dyDescent="0.25">
      <c r="B263" s="543"/>
      <c r="C263" s="1" t="b">
        <f>IF(NOT(ISBLANK('Toma de datos'!F53)),'Toma de datos'!F53*LOOKUP('Información general'!$L$53,'Equipamiento y listas'!$J$36:$J$48,'Equipamiento y listas'!$L$36:$L$48)*LOOKUP("psi",'Equipamiento y listas'!$K$47:$K$61,'Equipamiento y listas'!$L$47:$L$61))</f>
        <v>0</v>
      </c>
      <c r="D263" s="5">
        <f t="shared" si="13"/>
        <v>-1.6783216783218258E-3</v>
      </c>
      <c r="E263" s="5">
        <f>IFERROR(ABS(D263-($M$224+$M$225*C263+$M$226*C263*C263+$M$227*C263*C263*C263)),'Equipamiento y listas'!$I$24)</f>
        <v>5.4038848576975385E-2</v>
      </c>
      <c r="F263" s="1" t="b">
        <f t="shared" si="14"/>
        <v>0</v>
      </c>
      <c r="G263" s="1" t="e">
        <f t="shared" si="12"/>
        <v>#N/A</v>
      </c>
      <c r="I263" s="543"/>
      <c r="J263" s="549"/>
      <c r="K263" s="550"/>
      <c r="L263" s="550"/>
      <c r="M263" s="550"/>
      <c r="N263" s="551"/>
    </row>
    <row r="264" spans="2:14" x14ac:dyDescent="0.25">
      <c r="B264" s="543"/>
      <c r="C264" s="1" t="b">
        <f>IF(NOT(ISBLANK('Toma de datos'!F54)),'Toma de datos'!F54*LOOKUP('Información general'!$L$53,'Equipamiento y listas'!$J$36:$J$48,'Equipamiento y listas'!$L$36:$L$48)*LOOKUP("psi",'Equipamiento y listas'!$K$47:$K$61,'Equipamiento y listas'!$L$47:$L$61))</f>
        <v>0</v>
      </c>
      <c r="D264" s="5">
        <f t="shared" si="13"/>
        <v>-1.6783216783218258E-3</v>
      </c>
      <c r="E264" s="5">
        <f>IFERROR(ABS(D264-($M$224+$M$225*C264+$M$226*C264*C264+$M$227*C264*C264*C264)),'Equipamiento y listas'!$I$24)</f>
        <v>5.4038848576975385E-2</v>
      </c>
      <c r="F264" s="1" t="b">
        <f t="shared" si="14"/>
        <v>0</v>
      </c>
      <c r="G264" s="1" t="e">
        <f t="shared" si="12"/>
        <v>#N/A</v>
      </c>
      <c r="I264" s="543"/>
      <c r="J264" s="549"/>
      <c r="K264" s="550"/>
      <c r="L264" s="550"/>
      <c r="M264" s="550"/>
      <c r="N264" s="551"/>
    </row>
    <row r="265" spans="2:14" x14ac:dyDescent="0.25">
      <c r="B265" s="543"/>
      <c r="C265" s="1" t="b">
        <f>IF(NOT(ISBLANK('Toma de datos'!F55)),'Toma de datos'!F55*LOOKUP('Información general'!$L$53,'Equipamiento y listas'!$J$36:$J$48,'Equipamiento y listas'!$L$36:$L$48)*LOOKUP("psi",'Equipamiento y listas'!$K$47:$K$61,'Equipamiento y listas'!$L$47:$L$61))</f>
        <v>0</v>
      </c>
      <c r="D265" s="5">
        <f t="shared" si="13"/>
        <v>-1.6783216783218258E-3</v>
      </c>
      <c r="E265" s="5">
        <f>IFERROR(ABS(D265-($M$224+$M$225*C265+$M$226*C265*C265+$M$227*C265*C265*C265)),'Equipamiento y listas'!$I$24)</f>
        <v>5.4038848576975385E-2</v>
      </c>
      <c r="F265" s="1" t="b">
        <f t="shared" si="14"/>
        <v>0</v>
      </c>
      <c r="G265" s="1" t="e">
        <f t="shared" si="12"/>
        <v>#N/A</v>
      </c>
      <c r="I265" s="543"/>
      <c r="J265" s="549"/>
      <c r="K265" s="550"/>
      <c r="L265" s="550"/>
      <c r="M265" s="550"/>
      <c r="N265" s="551"/>
    </row>
    <row r="266" spans="2:14" ht="15.75" thickBot="1" x14ac:dyDescent="0.3">
      <c r="B266" s="544"/>
      <c r="C266" s="33" t="b">
        <f>IF(NOT(ISBLANK('Toma de datos'!F56)),'Toma de datos'!F56*LOOKUP('Información general'!$L$53,'Equipamiento y listas'!$J$36:$J$48,'Equipamiento y listas'!$L$36:$L$48)*LOOKUP("psi",'Equipamiento y listas'!$K$47:$K$61,'Equipamiento y listas'!$L$47:$L$61))</f>
        <v>0</v>
      </c>
      <c r="D266" s="34">
        <f t="shared" si="13"/>
        <v>-1.6783216783218258E-3</v>
      </c>
      <c r="E266" s="34">
        <f>IFERROR(ABS(D266-($M$224+$M$225*C266+$M$226*C266*C266+$M$227*C266*C266*C266)),'Equipamiento y listas'!$I$24)</f>
        <v>5.4038848576975385E-2</v>
      </c>
      <c r="F266" s="33" t="b">
        <f t="shared" si="14"/>
        <v>0</v>
      </c>
      <c r="G266" s="33" t="e">
        <f t="shared" si="12"/>
        <v>#N/A</v>
      </c>
      <c r="I266" s="544"/>
      <c r="J266" s="552"/>
      <c r="K266" s="553"/>
      <c r="L266" s="553"/>
      <c r="M266" s="553"/>
      <c r="N266" s="554"/>
    </row>
    <row r="267" spans="2:14" ht="14.45" customHeight="1" x14ac:dyDescent="0.25">
      <c r="B267" s="542" t="s">
        <v>262</v>
      </c>
      <c r="C267" s="29" t="b">
        <f>IF(NOT(ISBLANK('Toma de datos'!H47)),'Toma de datos'!H47*LOOKUP('Información general'!$L$53,'Equipamiento y listas'!$J$36:$J$48,'Equipamiento y listas'!$L$36:$L$48)*LOOKUP("psi",'Equipamiento y listas'!$K$47:$K$61,'Equipamiento y listas'!$L$47:$L$61))</f>
        <v>0</v>
      </c>
      <c r="D267" s="30">
        <f t="shared" si="13"/>
        <v>-1.6783216783218258E-3</v>
      </c>
      <c r="E267" s="30">
        <f>IFERROR(ABS(D267-($M$224+$M$225*C267+$M$226*C267*C267+$M$227*C267*C267*C267)),'Equipamiento y listas'!$I$24)</f>
        <v>5.4038848576975385E-2</v>
      </c>
      <c r="F267" s="29" t="b">
        <f t="shared" si="14"/>
        <v>0</v>
      </c>
      <c r="G267" s="29" t="e">
        <f t="shared" si="12"/>
        <v>#N/A</v>
      </c>
      <c r="I267" s="542" t="s">
        <v>262</v>
      </c>
      <c r="J267" s="546"/>
      <c r="K267" s="547"/>
      <c r="L267" s="547"/>
      <c r="M267" s="547"/>
      <c r="N267" s="548"/>
    </row>
    <row r="268" spans="2:14" x14ac:dyDescent="0.25">
      <c r="B268" s="543"/>
      <c r="C268" s="1" t="b">
        <f>IF(NOT(ISBLANK('Toma de datos'!H48)),'Toma de datos'!H48*LOOKUP('Información general'!$L$53,'Equipamiento y listas'!$J$36:$J$48,'Equipamiento y listas'!$L$36:$L$48)*LOOKUP("psi",'Equipamiento y listas'!$K$47:$K$61,'Equipamiento y listas'!$L$47:$L$61))</f>
        <v>0</v>
      </c>
      <c r="D268" s="5">
        <f t="shared" si="13"/>
        <v>-1.6783216783218258E-3</v>
      </c>
      <c r="E268" s="5">
        <f>IFERROR(ABS(D268-($M$224+$M$225*C268+$M$226*C268*C268+$M$227*C268*C268*C268)),'Equipamiento y listas'!$I$24)</f>
        <v>5.4038848576975385E-2</v>
      </c>
      <c r="F268" s="1" t="b">
        <f t="shared" si="14"/>
        <v>0</v>
      </c>
      <c r="G268" s="1" t="e">
        <f t="shared" si="12"/>
        <v>#N/A</v>
      </c>
      <c r="I268" s="543"/>
      <c r="J268" s="549"/>
      <c r="K268" s="550"/>
      <c r="L268" s="550"/>
      <c r="M268" s="550"/>
      <c r="N268" s="551"/>
    </row>
    <row r="269" spans="2:14" x14ac:dyDescent="0.25">
      <c r="B269" s="543"/>
      <c r="C269" s="1" t="b">
        <f>IF(NOT(ISBLANK('Toma de datos'!H49)),'Toma de datos'!H49*LOOKUP('Información general'!$L$53,'Equipamiento y listas'!$J$36:$J$48,'Equipamiento y listas'!$L$36:$L$48)*LOOKUP("psi",'Equipamiento y listas'!$K$47:$K$61,'Equipamiento y listas'!$L$47:$L$61))</f>
        <v>0</v>
      </c>
      <c r="D269" s="5">
        <f t="shared" si="13"/>
        <v>-1.6783216783218258E-3</v>
      </c>
      <c r="E269" s="5">
        <f>IFERROR(ABS(D269-($M$224+$M$225*C269+$M$226*C269*C269+$M$227*C269*C269*C269)),'Equipamiento y listas'!$I$24)</f>
        <v>5.4038848576975385E-2</v>
      </c>
      <c r="F269" s="1" t="b">
        <f t="shared" si="14"/>
        <v>0</v>
      </c>
      <c r="G269" s="1" t="e">
        <f t="shared" si="12"/>
        <v>#N/A</v>
      </c>
      <c r="I269" s="543"/>
      <c r="J269" s="549"/>
      <c r="K269" s="550"/>
      <c r="L269" s="550"/>
      <c r="M269" s="550"/>
      <c r="N269" s="551"/>
    </row>
    <row r="270" spans="2:14" x14ac:dyDescent="0.25">
      <c r="B270" s="543"/>
      <c r="C270" s="1" t="b">
        <f>IF(NOT(ISBLANK('Toma de datos'!H50)),'Toma de datos'!H50*LOOKUP('Información general'!$L$53,'Equipamiento y listas'!$J$36:$J$48,'Equipamiento y listas'!$L$36:$L$48)*LOOKUP("psi",'Equipamiento y listas'!$K$47:$K$61,'Equipamiento y listas'!$L$47:$L$61))</f>
        <v>0</v>
      </c>
      <c r="D270" s="5">
        <f t="shared" si="13"/>
        <v>-1.6783216783218258E-3</v>
      </c>
      <c r="E270" s="5">
        <f>IFERROR(ABS(D270-($M$224+$M$225*C270+$M$226*C270*C270+$M$227*C270*C270*C270)),'Equipamiento y listas'!$I$24)</f>
        <v>5.4038848576975385E-2</v>
      </c>
      <c r="F270" s="1" t="b">
        <f t="shared" si="14"/>
        <v>0</v>
      </c>
      <c r="G270" s="1" t="e">
        <f t="shared" si="12"/>
        <v>#N/A</v>
      </c>
      <c r="I270" s="543"/>
      <c r="J270" s="549"/>
      <c r="K270" s="550"/>
      <c r="L270" s="550"/>
      <c r="M270" s="550"/>
      <c r="N270" s="551"/>
    </row>
    <row r="271" spans="2:14" x14ac:dyDescent="0.25">
      <c r="B271" s="543"/>
      <c r="C271" s="1" t="b">
        <f>IF(NOT(ISBLANK('Toma de datos'!H51)),'Toma de datos'!H51*LOOKUP('Información general'!$L$53,'Equipamiento y listas'!$J$36:$J$48,'Equipamiento y listas'!$L$36:$L$48)*LOOKUP("psi",'Equipamiento y listas'!$K$47:$K$61,'Equipamiento y listas'!$L$47:$L$61))</f>
        <v>0</v>
      </c>
      <c r="D271" s="5">
        <f t="shared" si="13"/>
        <v>-1.6783216783218258E-3</v>
      </c>
      <c r="E271" s="5">
        <f>IFERROR(ABS(D271-($M$224+$M$225*C271+$M$226*C271*C271+$M$227*C271*C271*C271)),'Equipamiento y listas'!$I$24)</f>
        <v>5.4038848576975385E-2</v>
      </c>
      <c r="F271" s="1" t="b">
        <f t="shared" si="14"/>
        <v>0</v>
      </c>
      <c r="G271" s="1" t="e">
        <f t="shared" si="12"/>
        <v>#N/A</v>
      </c>
      <c r="I271" s="543"/>
      <c r="J271" s="549"/>
      <c r="K271" s="550"/>
      <c r="L271" s="550"/>
      <c r="M271" s="550"/>
      <c r="N271" s="551"/>
    </row>
    <row r="272" spans="2:14" x14ac:dyDescent="0.25">
      <c r="B272" s="543"/>
      <c r="C272" s="1" t="b">
        <f>IF(NOT(ISBLANK('Toma de datos'!H52)),'Toma de datos'!H52*LOOKUP('Información general'!$L$53,'Equipamiento y listas'!$J$36:$J$48,'Equipamiento y listas'!$L$36:$L$48)*LOOKUP("psi",'Equipamiento y listas'!$K$47:$K$61,'Equipamiento y listas'!$L$47:$L$61))</f>
        <v>0</v>
      </c>
      <c r="D272" s="5">
        <f t="shared" si="13"/>
        <v>-1.6783216783218258E-3</v>
      </c>
      <c r="E272" s="5">
        <f>IFERROR(ABS(D272-($M$224+$M$225*C272+$M$226*C272*C272+$M$227*C272*C272*C272)),'Equipamiento y listas'!$I$24)</f>
        <v>5.4038848576975385E-2</v>
      </c>
      <c r="F272" s="1" t="b">
        <f t="shared" si="14"/>
        <v>0</v>
      </c>
      <c r="G272" s="1" t="e">
        <f t="shared" si="12"/>
        <v>#N/A</v>
      </c>
      <c r="I272" s="543"/>
      <c r="J272" s="549"/>
      <c r="K272" s="550"/>
      <c r="L272" s="550"/>
      <c r="M272" s="550"/>
      <c r="N272" s="551"/>
    </row>
    <row r="273" spans="2:14" x14ac:dyDescent="0.25">
      <c r="B273" s="543"/>
      <c r="C273" s="1" t="b">
        <f>IF(NOT(ISBLANK('Toma de datos'!H53)),'Toma de datos'!H53*LOOKUP('Información general'!$L$53,'Equipamiento y listas'!$J$36:$J$48,'Equipamiento y listas'!$L$36:$L$48)*LOOKUP("psi",'Equipamiento y listas'!$K$47:$K$61,'Equipamiento y listas'!$L$47:$L$61))</f>
        <v>0</v>
      </c>
      <c r="D273" s="5">
        <f t="shared" si="13"/>
        <v>-1.6783216783218258E-3</v>
      </c>
      <c r="E273" s="5">
        <f>IFERROR(ABS(D273-($M$224+$M$225*C273+$M$226*C273*C273+$M$227*C273*C273*C273)),'Equipamiento y listas'!$I$24)</f>
        <v>5.4038848576975385E-2</v>
      </c>
      <c r="F273" s="1" t="b">
        <f t="shared" si="14"/>
        <v>0</v>
      </c>
      <c r="G273" s="1" t="e">
        <f t="shared" si="12"/>
        <v>#N/A</v>
      </c>
      <c r="I273" s="543"/>
      <c r="J273" s="549"/>
      <c r="K273" s="550"/>
      <c r="L273" s="550"/>
      <c r="M273" s="550"/>
      <c r="N273" s="551"/>
    </row>
    <row r="274" spans="2:14" x14ac:dyDescent="0.25">
      <c r="B274" s="543"/>
      <c r="C274" s="1" t="b">
        <f>IF(NOT(ISBLANK('Toma de datos'!H54)),'Toma de datos'!H54*LOOKUP('Información general'!$L$53,'Equipamiento y listas'!$J$36:$J$48,'Equipamiento y listas'!$L$36:$L$48)*LOOKUP("psi",'Equipamiento y listas'!$K$47:$K$61,'Equipamiento y listas'!$L$47:$L$61))</f>
        <v>0</v>
      </c>
      <c r="D274" s="5">
        <f t="shared" si="13"/>
        <v>-1.6783216783218258E-3</v>
      </c>
      <c r="E274" s="5">
        <f>IFERROR(ABS(D274-($M$224+$M$225*C274+$M$226*C274*C274+$M$227*C274*C274*C274)),'Equipamiento y listas'!$I$24)</f>
        <v>5.4038848576975385E-2</v>
      </c>
      <c r="F274" s="1" t="b">
        <f t="shared" si="14"/>
        <v>0</v>
      </c>
      <c r="G274" s="1" t="e">
        <f t="shared" si="12"/>
        <v>#N/A</v>
      </c>
      <c r="I274" s="543"/>
      <c r="J274" s="549"/>
      <c r="K274" s="550"/>
      <c r="L274" s="550"/>
      <c r="M274" s="550"/>
      <c r="N274" s="551"/>
    </row>
    <row r="275" spans="2:14" x14ac:dyDescent="0.25">
      <c r="B275" s="543"/>
      <c r="C275" s="1" t="b">
        <f>IF(NOT(ISBLANK('Toma de datos'!H55)),'Toma de datos'!H55*LOOKUP('Información general'!$L$53,'Equipamiento y listas'!$J$36:$J$48,'Equipamiento y listas'!$L$36:$L$48)*LOOKUP("psi",'Equipamiento y listas'!$K$47:$K$61,'Equipamiento y listas'!$L$47:$L$61))</f>
        <v>0</v>
      </c>
      <c r="D275" s="5">
        <f t="shared" si="13"/>
        <v>-1.6783216783218258E-3</v>
      </c>
      <c r="E275" s="5">
        <f>IFERROR(ABS(D275-($M$224+$M$225*C275+$M$226*C275*C275+$M$227*C275*C275*C275)),'Equipamiento y listas'!$I$24)</f>
        <v>5.4038848576975385E-2</v>
      </c>
      <c r="F275" s="1" t="b">
        <f t="shared" si="14"/>
        <v>0</v>
      </c>
      <c r="G275" s="1" t="e">
        <f t="shared" si="12"/>
        <v>#N/A</v>
      </c>
      <c r="I275" s="543"/>
      <c r="J275" s="549"/>
      <c r="K275" s="550"/>
      <c r="L275" s="550"/>
      <c r="M275" s="550"/>
      <c r="N275" s="551"/>
    </row>
    <row r="276" spans="2:14" ht="15.75" thickBot="1" x14ac:dyDescent="0.3">
      <c r="B276" s="544"/>
      <c r="C276" s="27" t="b">
        <f>IF(NOT(ISBLANK('Toma de datos'!H56)),'Toma de datos'!H56*LOOKUP('Información general'!$L$53,'Equipamiento y listas'!$J$36:$J$48,'Equipamiento y listas'!$L$36:$L$48)*LOOKUP("psi",'Equipamiento y listas'!$K$47:$K$61,'Equipamiento y listas'!$L$47:$L$61))</f>
        <v>0</v>
      </c>
      <c r="D276" s="28">
        <f t="shared" si="13"/>
        <v>-1.6783216783218258E-3</v>
      </c>
      <c r="E276" s="28">
        <f>IFERROR(ABS(D276-($M$224+$M$225*C276+$M$226*C276*C276+$M$227*C276*C276*C276)),'Equipamiento y listas'!$I$24)</f>
        <v>5.4038848576975385E-2</v>
      </c>
      <c r="F276" s="27" t="b">
        <f t="shared" si="14"/>
        <v>0</v>
      </c>
      <c r="G276" s="27" t="e">
        <f t="shared" si="12"/>
        <v>#N/A</v>
      </c>
      <c r="I276" s="544"/>
      <c r="J276" s="552"/>
      <c r="K276" s="553"/>
      <c r="L276" s="553"/>
      <c r="M276" s="553"/>
      <c r="N276" s="554"/>
    </row>
    <row r="277" spans="2:14" ht="14.45" customHeight="1" x14ac:dyDescent="0.25">
      <c r="B277" s="542" t="s">
        <v>263</v>
      </c>
      <c r="C277" s="31" t="b">
        <f>IF(NOT(ISBLANK('Toma de datos'!J47)),'Toma de datos'!J47*LOOKUP('Información general'!$L$53,'Equipamiento y listas'!$J$36:$J$48,'Equipamiento y listas'!$L$36:$L$48)*LOOKUP("psi",'Equipamiento y listas'!$K$47:$K$61,'Equipamiento y listas'!$L$47:$L$61))</f>
        <v>0</v>
      </c>
      <c r="D277" s="32">
        <f t="shared" si="13"/>
        <v>-1.6783216783218258E-3</v>
      </c>
      <c r="E277" s="32">
        <f>IFERROR(ABS(D277-($M$224+$M$225*C277+$M$226*C277*C277+$M$227*C277*C277*C277)),'Equipamiento y listas'!$I$24)</f>
        <v>5.4038848576975385E-2</v>
      </c>
      <c r="F277" s="31" t="b">
        <f t="shared" si="14"/>
        <v>0</v>
      </c>
      <c r="G277" s="31" t="e">
        <f t="shared" si="12"/>
        <v>#N/A</v>
      </c>
      <c r="I277" s="542" t="s">
        <v>263</v>
      </c>
      <c r="J277" s="546"/>
      <c r="K277" s="547"/>
      <c r="L277" s="547"/>
      <c r="M277" s="547"/>
      <c r="N277" s="548"/>
    </row>
    <row r="278" spans="2:14" x14ac:dyDescent="0.25">
      <c r="B278" s="543"/>
      <c r="C278" s="29" t="b">
        <f>IF(NOT(ISBLANK('Toma de datos'!J48)),'Toma de datos'!J48*LOOKUP('Información general'!$L$53,'Equipamiento y listas'!$J$36:$J$48,'Equipamiento y listas'!$L$36:$L$48)*LOOKUP("psi",'Equipamiento y listas'!$K$47:$K$61,'Equipamiento y listas'!$L$47:$L$61))</f>
        <v>0</v>
      </c>
      <c r="D278" s="5">
        <f t="shared" si="13"/>
        <v>-1.6783216783218258E-3</v>
      </c>
      <c r="E278" s="5">
        <f>IFERROR(ABS(D278-($M$224+$M$225*C278+$M$226*C278*C278+$M$227*C278*C278*C278)),'Equipamiento y listas'!$I$24)</f>
        <v>5.4038848576975385E-2</v>
      </c>
      <c r="F278" s="1" t="b">
        <f t="shared" si="14"/>
        <v>0</v>
      </c>
      <c r="G278" s="1" t="e">
        <f t="shared" si="12"/>
        <v>#N/A</v>
      </c>
      <c r="I278" s="543"/>
      <c r="J278" s="549"/>
      <c r="K278" s="550"/>
      <c r="L278" s="550"/>
      <c r="M278" s="550"/>
      <c r="N278" s="551"/>
    </row>
    <row r="279" spans="2:14" x14ac:dyDescent="0.25">
      <c r="B279" s="543"/>
      <c r="C279" s="29" t="b">
        <f>IF(NOT(ISBLANK('Toma de datos'!J49)),'Toma de datos'!J49*LOOKUP('Información general'!$L$53,'Equipamiento y listas'!$J$36:$J$48,'Equipamiento y listas'!$L$36:$L$48)*LOOKUP("psi",'Equipamiento y listas'!$K$47:$K$61,'Equipamiento y listas'!$L$47:$L$61))</f>
        <v>0</v>
      </c>
      <c r="D279" s="5">
        <f t="shared" si="13"/>
        <v>-1.6783216783218258E-3</v>
      </c>
      <c r="E279" s="5">
        <f>IFERROR(ABS(D279-($M$224+$M$225*C279+$M$226*C279*C279+$M$227*C279*C279*C279)),'Equipamiento y listas'!$I$24)</f>
        <v>5.4038848576975385E-2</v>
      </c>
      <c r="F279" s="1" t="b">
        <f t="shared" si="14"/>
        <v>0</v>
      </c>
      <c r="G279" s="1" t="e">
        <f>VLOOKUP(F279,$E$213:$F$223,2)</f>
        <v>#N/A</v>
      </c>
      <c r="I279" s="543"/>
      <c r="J279" s="549"/>
      <c r="K279" s="550"/>
      <c r="L279" s="550"/>
      <c r="M279" s="550"/>
      <c r="N279" s="551"/>
    </row>
    <row r="280" spans="2:14" x14ac:dyDescent="0.25">
      <c r="B280" s="543"/>
      <c r="C280" s="29" t="b">
        <f>IF(NOT(ISBLANK('Toma de datos'!J50)),'Toma de datos'!J50*LOOKUP('Información general'!$L$53,'Equipamiento y listas'!$J$36:$J$48,'Equipamiento y listas'!$L$36:$L$48)*LOOKUP("psi",'Equipamiento y listas'!$K$47:$K$61,'Equipamiento y listas'!$L$47:$L$61))</f>
        <v>0</v>
      </c>
      <c r="D280" s="5">
        <f t="shared" si="13"/>
        <v>-1.6783216783218258E-3</v>
      </c>
      <c r="E280" s="5">
        <f>IFERROR(ABS(D280-($M$224+$M$225*C280+$M$226*C280*C280+$M$227*C280*C280*C280)),'Equipamiento y listas'!$I$24)</f>
        <v>5.4038848576975385E-2</v>
      </c>
      <c r="F280" s="1" t="b">
        <f t="shared" si="14"/>
        <v>0</v>
      </c>
      <c r="G280" s="1" t="e">
        <f t="shared" si="12"/>
        <v>#N/A</v>
      </c>
      <c r="I280" s="543"/>
      <c r="J280" s="549"/>
      <c r="K280" s="550"/>
      <c r="L280" s="550"/>
      <c r="M280" s="550"/>
      <c r="N280" s="551"/>
    </row>
    <row r="281" spans="2:14" x14ac:dyDescent="0.25">
      <c r="B281" s="543"/>
      <c r="C281" s="29" t="b">
        <f>IF(NOT(ISBLANK('Toma de datos'!J51)),'Toma de datos'!J51*LOOKUP('Información general'!$L$53,'Equipamiento y listas'!$J$36:$J$48,'Equipamiento y listas'!$L$36:$L$48)*LOOKUP("psi",'Equipamiento y listas'!$K$47:$K$61,'Equipamiento y listas'!$L$47:$L$61))</f>
        <v>0</v>
      </c>
      <c r="D281" s="5">
        <f t="shared" si="13"/>
        <v>-1.6783216783218258E-3</v>
      </c>
      <c r="E281" s="5">
        <f>IFERROR(ABS(D281-($M$224+$M$225*C281+$M$226*C281*C281+$M$227*C281*C281*C281)),'Equipamiento y listas'!$I$24)</f>
        <v>5.4038848576975385E-2</v>
      </c>
      <c r="F281" s="1" t="b">
        <f t="shared" si="14"/>
        <v>0</v>
      </c>
      <c r="G281" s="1" t="e">
        <f t="shared" si="12"/>
        <v>#N/A</v>
      </c>
      <c r="I281" s="543"/>
      <c r="J281" s="549"/>
      <c r="K281" s="550"/>
      <c r="L281" s="550"/>
      <c r="M281" s="550"/>
      <c r="N281" s="551"/>
    </row>
    <row r="282" spans="2:14" x14ac:dyDescent="0.25">
      <c r="B282" s="543"/>
      <c r="C282" s="29" t="b">
        <f>IF(NOT(ISBLANK('Toma de datos'!J52)),'Toma de datos'!J52*LOOKUP('Información general'!$L$53,'Equipamiento y listas'!$J$36:$J$48,'Equipamiento y listas'!$L$36:$L$48)*LOOKUP("psi",'Equipamiento y listas'!$K$47:$K$61,'Equipamiento y listas'!$L$47:$L$61))</f>
        <v>0</v>
      </c>
      <c r="D282" s="5">
        <f t="shared" si="13"/>
        <v>-1.6783216783218258E-3</v>
      </c>
      <c r="E282" s="5">
        <f>IFERROR(ABS(D282-($M$224+$M$225*C282+$M$226*C282*C282+$M$227*C282*C282*C282)),'Equipamiento y listas'!$I$24)</f>
        <v>5.4038848576975385E-2</v>
      </c>
      <c r="F282" s="1" t="b">
        <f t="shared" si="14"/>
        <v>0</v>
      </c>
      <c r="G282" s="1" t="e">
        <f t="shared" si="12"/>
        <v>#N/A</v>
      </c>
      <c r="I282" s="543"/>
      <c r="J282" s="549"/>
      <c r="K282" s="550"/>
      <c r="L282" s="550"/>
      <c r="M282" s="550"/>
      <c r="N282" s="551"/>
    </row>
    <row r="283" spans="2:14" x14ac:dyDescent="0.25">
      <c r="B283" s="543"/>
      <c r="C283" s="29" t="b">
        <f>IF(NOT(ISBLANK('Toma de datos'!J53)),'Toma de datos'!J53*LOOKUP('Información general'!$L$53,'Equipamiento y listas'!$J$36:$J$48,'Equipamiento y listas'!$L$36:$L$48)*LOOKUP("psi",'Equipamiento y listas'!$K$47:$K$61,'Equipamiento y listas'!$L$47:$L$61))</f>
        <v>0</v>
      </c>
      <c r="D283" s="5">
        <f t="shared" si="13"/>
        <v>-1.6783216783218258E-3</v>
      </c>
      <c r="E283" s="5">
        <f>IFERROR(ABS(D283-($M$224+$M$225*C283+$M$226*C283*C283+$M$227*C283*C283*C283)),'Equipamiento y listas'!$I$24)</f>
        <v>5.4038848576975385E-2</v>
      </c>
      <c r="F283" s="1" t="b">
        <f t="shared" si="14"/>
        <v>0</v>
      </c>
      <c r="G283" s="1" t="e">
        <f t="shared" si="12"/>
        <v>#N/A</v>
      </c>
      <c r="I283" s="543"/>
      <c r="J283" s="549"/>
      <c r="K283" s="550"/>
      <c r="L283" s="550"/>
      <c r="M283" s="550"/>
      <c r="N283" s="551"/>
    </row>
    <row r="284" spans="2:14" x14ac:dyDescent="0.25">
      <c r="B284" s="543"/>
      <c r="C284" s="29" t="b">
        <f>IF(NOT(ISBLANK('Toma de datos'!J54)),'Toma de datos'!J54*LOOKUP('Información general'!$L$53,'Equipamiento y listas'!$J$36:$J$48,'Equipamiento y listas'!$L$36:$L$48)*LOOKUP("psi",'Equipamiento y listas'!$K$47:$K$61,'Equipamiento y listas'!$L$47:$L$61))</f>
        <v>0</v>
      </c>
      <c r="D284" s="5">
        <f t="shared" si="13"/>
        <v>-1.6783216783218258E-3</v>
      </c>
      <c r="E284" s="5">
        <f>IFERROR(ABS(D284-($M$224+$M$225*C284+$M$226*C284*C284+$M$227*C284*C284*C284)),'Equipamiento y listas'!$I$24)</f>
        <v>5.4038848576975385E-2</v>
      </c>
      <c r="F284" s="1" t="b">
        <f t="shared" si="14"/>
        <v>0</v>
      </c>
      <c r="G284" s="1" t="e">
        <f t="shared" si="12"/>
        <v>#N/A</v>
      </c>
      <c r="I284" s="543"/>
      <c r="J284" s="549"/>
      <c r="K284" s="550"/>
      <c r="L284" s="550"/>
      <c r="M284" s="550"/>
      <c r="N284" s="551"/>
    </row>
    <row r="285" spans="2:14" x14ac:dyDescent="0.25">
      <c r="B285" s="543"/>
      <c r="C285" s="29" t="b">
        <f>IF(NOT(ISBLANK('Toma de datos'!J55)),'Toma de datos'!J55*LOOKUP('Información general'!$L$53,'Equipamiento y listas'!$J$36:$J$48,'Equipamiento y listas'!$L$36:$L$48)*LOOKUP("psi",'Equipamiento y listas'!$K$47:$K$61,'Equipamiento y listas'!$L$47:$L$61))</f>
        <v>0</v>
      </c>
      <c r="D285" s="5">
        <f t="shared" si="13"/>
        <v>-1.6783216783218258E-3</v>
      </c>
      <c r="E285" s="5">
        <f>IFERROR(ABS(D285-($M$224+$M$225*C285+$M$226*C285*C285+$M$227*C285*C285*C285)),'Equipamiento y listas'!$I$24)</f>
        <v>5.4038848576975385E-2</v>
      </c>
      <c r="F285" s="1" t="b">
        <f t="shared" si="14"/>
        <v>0</v>
      </c>
      <c r="G285" s="1" t="e">
        <f t="shared" si="12"/>
        <v>#N/A</v>
      </c>
      <c r="I285" s="543"/>
      <c r="J285" s="549"/>
      <c r="K285" s="550"/>
      <c r="L285" s="550"/>
      <c r="M285" s="550"/>
      <c r="N285" s="551"/>
    </row>
    <row r="286" spans="2:14" ht="15.75" thickBot="1" x14ac:dyDescent="0.3">
      <c r="B286" s="544"/>
      <c r="C286" s="52" t="b">
        <f>IF(NOT(ISBLANK('Toma de datos'!J56)),'Toma de datos'!J56*LOOKUP('Información general'!$L$53,'Equipamiento y listas'!$J$36:$J$48,'Equipamiento y listas'!$L$36:$L$48)*LOOKUP("psi",'Equipamiento y listas'!$K$47:$K$61,'Equipamiento y listas'!$L$47:$L$61))</f>
        <v>0</v>
      </c>
      <c r="D286" s="34">
        <f t="shared" si="13"/>
        <v>-1.6783216783218258E-3</v>
      </c>
      <c r="E286" s="34">
        <f>IFERROR(ABS(D286-($M$224+$M$225*C286+$M$226*C286*C286+$M$227*C286*C286*C286)),'Equipamiento y listas'!$I$24)</f>
        <v>5.4038848576975385E-2</v>
      </c>
      <c r="F286" s="33" t="b">
        <f t="shared" si="14"/>
        <v>0</v>
      </c>
      <c r="G286" s="33" t="e">
        <f t="shared" si="12"/>
        <v>#N/A</v>
      </c>
      <c r="I286" s="544"/>
      <c r="J286" s="552"/>
      <c r="K286" s="553"/>
      <c r="L286" s="553"/>
      <c r="M286" s="553"/>
      <c r="N286" s="554"/>
    </row>
    <row r="287" spans="2:14" ht="14.45" customHeight="1" x14ac:dyDescent="0.25">
      <c r="B287" s="542" t="s">
        <v>264</v>
      </c>
      <c r="C287" s="29" t="b">
        <f>IF(NOT(ISBLANK('Toma de datos'!L47)),'Toma de datos'!L47*LOOKUP('Información general'!$L$53,'Equipamiento y listas'!$J$36:$J$48,'Equipamiento y listas'!$L$36:$L$48)*LOOKUP("psi",'Equipamiento y listas'!$K$47:$K$61,'Equipamiento y listas'!$L$47:$L$61))</f>
        <v>0</v>
      </c>
      <c r="D287" s="30">
        <f t="shared" si="13"/>
        <v>-1.6783216783218258E-3</v>
      </c>
      <c r="E287" s="30">
        <f>IFERROR(ABS(D287-($M$224+$M$225*C287+$M$226*C287*C287+$M$227*C287*C287*C287)),'Equipamiento y listas'!$I$24)</f>
        <v>5.4038848576975385E-2</v>
      </c>
      <c r="F287" s="29" t="b">
        <f t="shared" si="14"/>
        <v>0</v>
      </c>
      <c r="G287" s="29" t="e">
        <f t="shared" si="12"/>
        <v>#N/A</v>
      </c>
      <c r="I287" s="542" t="s">
        <v>264</v>
      </c>
      <c r="J287" s="546"/>
      <c r="K287" s="547"/>
      <c r="L287" s="547"/>
      <c r="M287" s="547"/>
      <c r="N287" s="548"/>
    </row>
    <row r="288" spans="2:14" x14ac:dyDescent="0.25">
      <c r="B288" s="543"/>
      <c r="C288" s="29" t="b">
        <f>IF(NOT(ISBLANK('Toma de datos'!L48)),'Toma de datos'!L48*LOOKUP('Información general'!$L$53,'Equipamiento y listas'!$J$36:$J$48,'Equipamiento y listas'!$L$36:$L$48)*LOOKUP("psi",'Equipamiento y listas'!$K$47:$K$61,'Equipamiento y listas'!$L$47:$L$61))</f>
        <v>0</v>
      </c>
      <c r="D288" s="5">
        <f t="shared" si="13"/>
        <v>-1.6783216783218258E-3</v>
      </c>
      <c r="E288" s="5">
        <f>IFERROR(ABS(D288-($M$224+$M$225*C288+$M$226*C288*C288+$M$227*C288*C288*C288)),'Equipamiento y listas'!$I$24)</f>
        <v>5.4038848576975385E-2</v>
      </c>
      <c r="F288" s="1" t="b">
        <f t="shared" si="14"/>
        <v>0</v>
      </c>
      <c r="G288" s="1" t="e">
        <f t="shared" si="12"/>
        <v>#N/A</v>
      </c>
      <c r="I288" s="543"/>
      <c r="J288" s="549"/>
      <c r="K288" s="550"/>
      <c r="L288" s="550"/>
      <c r="M288" s="550"/>
      <c r="N288" s="551"/>
    </row>
    <row r="289" spans="1:15" x14ac:dyDescent="0.25">
      <c r="B289" s="543"/>
      <c r="C289" s="29" t="b">
        <f>IF(NOT(ISBLANK('Toma de datos'!L49)),'Toma de datos'!L49*LOOKUP('Información general'!$L$53,'Equipamiento y listas'!$J$36:$J$48,'Equipamiento y listas'!$L$36:$L$48)*LOOKUP("psi",'Equipamiento y listas'!$K$47:$K$61,'Equipamiento y listas'!$L$47:$L$61))</f>
        <v>0</v>
      </c>
      <c r="D289" s="5">
        <f t="shared" si="13"/>
        <v>-1.6783216783218258E-3</v>
      </c>
      <c r="E289" s="5">
        <f>IFERROR(ABS(D289-($M$224+$M$225*C289+$M$226*C289*C289+$M$227*C289*C289*C289)),'Equipamiento y listas'!$I$24)</f>
        <v>5.4038848576975385E-2</v>
      </c>
      <c r="F289" s="1" t="b">
        <f t="shared" si="14"/>
        <v>0</v>
      </c>
      <c r="G289" s="1" t="e">
        <f t="shared" si="12"/>
        <v>#N/A</v>
      </c>
      <c r="I289" s="543"/>
      <c r="J289" s="549"/>
      <c r="K289" s="550"/>
      <c r="L289" s="550"/>
      <c r="M289" s="550"/>
      <c r="N289" s="551"/>
    </row>
    <row r="290" spans="1:15" x14ac:dyDescent="0.25">
      <c r="B290" s="543"/>
      <c r="C290" s="29" t="b">
        <f>IF(NOT(ISBLANK('Toma de datos'!L50)),'Toma de datos'!L50*LOOKUP('Información general'!$L$53,'Equipamiento y listas'!$J$36:$J$48,'Equipamiento y listas'!$L$36:$L$48)*LOOKUP("psi",'Equipamiento y listas'!$K$47:$K$61,'Equipamiento y listas'!$L$47:$L$61))</f>
        <v>0</v>
      </c>
      <c r="D290" s="5">
        <f t="shared" si="13"/>
        <v>-1.6783216783218258E-3</v>
      </c>
      <c r="E290" s="5">
        <f>IFERROR(ABS(D290-($M$224+$M$225*C290+$M$226*C290*C290+$M$227*C290*C290*C290)),'Equipamiento y listas'!$I$24)</f>
        <v>5.4038848576975385E-2</v>
      </c>
      <c r="F290" s="1" t="b">
        <f t="shared" si="14"/>
        <v>0</v>
      </c>
      <c r="G290" s="1" t="e">
        <f t="shared" si="12"/>
        <v>#N/A</v>
      </c>
      <c r="I290" s="543"/>
      <c r="J290" s="549"/>
      <c r="K290" s="550"/>
      <c r="L290" s="550"/>
      <c r="M290" s="550"/>
      <c r="N290" s="551"/>
    </row>
    <row r="291" spans="1:15" x14ac:dyDescent="0.25">
      <c r="B291" s="543"/>
      <c r="C291" s="29" t="b">
        <f>IF(NOT(ISBLANK('Toma de datos'!L51)),'Toma de datos'!L51*LOOKUP('Información general'!$L$53,'Equipamiento y listas'!$J$36:$J$48,'Equipamiento y listas'!$L$36:$L$48)*LOOKUP("psi",'Equipamiento y listas'!$K$47:$K$61,'Equipamiento y listas'!$L$47:$L$61))</f>
        <v>0</v>
      </c>
      <c r="D291" s="5">
        <f t="shared" si="13"/>
        <v>-1.6783216783218258E-3</v>
      </c>
      <c r="E291" s="5">
        <f>IFERROR(ABS(D291-($M$224+$M$225*C291+$M$226*C291*C291+$M$227*C291*C291*C291)),'Equipamiento y listas'!$I$24)</f>
        <v>5.4038848576975385E-2</v>
      </c>
      <c r="F291" s="1" t="b">
        <f t="shared" si="14"/>
        <v>0</v>
      </c>
      <c r="G291" s="1" t="e">
        <f t="shared" si="12"/>
        <v>#N/A</v>
      </c>
      <c r="I291" s="543"/>
      <c r="J291" s="549"/>
      <c r="K291" s="550"/>
      <c r="L291" s="550"/>
      <c r="M291" s="550"/>
      <c r="N291" s="551"/>
    </row>
    <row r="292" spans="1:15" x14ac:dyDescent="0.25">
      <c r="B292" s="543"/>
      <c r="C292" s="29" t="b">
        <f>IF(NOT(ISBLANK('Toma de datos'!L52)),'Toma de datos'!L52*LOOKUP('Información general'!$L$53,'Equipamiento y listas'!$J$36:$J$48,'Equipamiento y listas'!$L$36:$L$48)*LOOKUP("psi",'Equipamiento y listas'!$K$47:$K$61,'Equipamiento y listas'!$L$47:$L$61))</f>
        <v>0</v>
      </c>
      <c r="D292" s="5">
        <f t="shared" si="13"/>
        <v>-1.6783216783218258E-3</v>
      </c>
      <c r="E292" s="5">
        <f>IFERROR(ABS(D292-($M$224+$M$225*C292+$M$226*C292*C292+$M$227*C292*C292*C292)),'Equipamiento y listas'!$I$24)</f>
        <v>5.4038848576975385E-2</v>
      </c>
      <c r="F292" s="1" t="b">
        <f t="shared" si="14"/>
        <v>0</v>
      </c>
      <c r="G292" s="1" t="e">
        <f t="shared" si="12"/>
        <v>#N/A</v>
      </c>
      <c r="I292" s="543"/>
      <c r="J292" s="549"/>
      <c r="K292" s="550"/>
      <c r="L292" s="550"/>
      <c r="M292" s="550"/>
      <c r="N292" s="551"/>
    </row>
    <row r="293" spans="1:15" x14ac:dyDescent="0.25">
      <c r="B293" s="543"/>
      <c r="C293" s="29" t="b">
        <f>IF(NOT(ISBLANK('Toma de datos'!L53)),'Toma de datos'!L53*LOOKUP('Información general'!$L$53,'Equipamiento y listas'!$J$36:$J$48,'Equipamiento y listas'!$L$36:$L$48)*LOOKUP("psi",'Equipamiento y listas'!$K$47:$K$61,'Equipamiento y listas'!$L$47:$L$61))</f>
        <v>0</v>
      </c>
      <c r="D293" s="5">
        <f t="shared" si="13"/>
        <v>-1.6783216783218258E-3</v>
      </c>
      <c r="E293" s="5">
        <f>IFERROR(ABS(D293-($M$224+$M$225*C293+$M$226*C293*C293+$M$227*C293*C293*C293)),'Equipamiento y listas'!$I$24)</f>
        <v>5.4038848576975385E-2</v>
      </c>
      <c r="F293" s="1" t="b">
        <f t="shared" si="14"/>
        <v>0</v>
      </c>
      <c r="G293" s="1" t="e">
        <f t="shared" si="12"/>
        <v>#N/A</v>
      </c>
      <c r="I293" s="543"/>
      <c r="J293" s="549"/>
      <c r="K293" s="550"/>
      <c r="L293" s="550"/>
      <c r="M293" s="550"/>
      <c r="N293" s="551"/>
    </row>
    <row r="294" spans="1:15" x14ac:dyDescent="0.25">
      <c r="B294" s="543"/>
      <c r="C294" s="29" t="b">
        <f>IF(NOT(ISBLANK('Toma de datos'!L54)),'Toma de datos'!L54*LOOKUP('Información general'!$L$53,'Equipamiento y listas'!$J$36:$J$48,'Equipamiento y listas'!$L$36:$L$48)*LOOKUP("psi",'Equipamiento y listas'!$K$47:$K$61,'Equipamiento y listas'!$L$47:$L$61))</f>
        <v>0</v>
      </c>
      <c r="D294" s="5">
        <f t="shared" si="13"/>
        <v>-1.6783216783218258E-3</v>
      </c>
      <c r="E294" s="5">
        <f>IFERROR(ABS(D294-($M$224+$M$225*C294+$M$226*C294*C294+$M$227*C294*C294*C294)),'Equipamiento y listas'!$I$24)</f>
        <v>5.4038848576975385E-2</v>
      </c>
      <c r="F294" s="1" t="b">
        <f t="shared" si="14"/>
        <v>0</v>
      </c>
      <c r="G294" s="1" t="e">
        <f t="shared" si="12"/>
        <v>#N/A</v>
      </c>
      <c r="I294" s="543"/>
      <c r="J294" s="549"/>
      <c r="K294" s="550"/>
      <c r="L294" s="550"/>
      <c r="M294" s="550"/>
      <c r="N294" s="551"/>
    </row>
    <row r="295" spans="1:15" x14ac:dyDescent="0.25">
      <c r="B295" s="543"/>
      <c r="C295" s="29" t="b">
        <f>IF(NOT(ISBLANK('Toma de datos'!L55)),'Toma de datos'!L55*LOOKUP('Información general'!$L$53,'Equipamiento y listas'!$J$36:$J$48,'Equipamiento y listas'!$L$36:$L$48)*LOOKUP("psi",'Equipamiento y listas'!$K$47:$K$61,'Equipamiento y listas'!$L$47:$L$61))</f>
        <v>0</v>
      </c>
      <c r="D295" s="5">
        <f t="shared" si="13"/>
        <v>-1.6783216783218258E-3</v>
      </c>
      <c r="E295" s="5">
        <f>IFERROR(ABS(D295-($M$224+$M$225*C295+$M$226*C295*C295+$M$227*C295*C295*C295)),'Equipamiento y listas'!$I$24)</f>
        <v>5.4038848576975385E-2</v>
      </c>
      <c r="F295" s="1" t="b">
        <f t="shared" si="14"/>
        <v>0</v>
      </c>
      <c r="G295" s="1" t="e">
        <f t="shared" si="12"/>
        <v>#N/A</v>
      </c>
      <c r="I295" s="543"/>
      <c r="J295" s="549"/>
      <c r="K295" s="550"/>
      <c r="L295" s="550"/>
      <c r="M295" s="550"/>
      <c r="N295" s="551"/>
    </row>
    <row r="296" spans="1:15" x14ac:dyDescent="0.25">
      <c r="B296" s="545"/>
      <c r="C296" s="29" t="b">
        <f>IF(NOT(ISBLANK('Toma de datos'!L56)),'Toma de datos'!L56*LOOKUP('Información general'!$L$53,'Equipamiento y listas'!$J$36:$J$48,'Equipamiento y listas'!$L$36:$L$48)*LOOKUP("psi",'Equipamiento y listas'!$K$47:$K$61,'Equipamiento y listas'!$L$47:$L$61))</f>
        <v>0</v>
      </c>
      <c r="D296" s="5">
        <f t="shared" si="13"/>
        <v>-1.6783216783218258E-3</v>
      </c>
      <c r="E296" s="5">
        <f>IFERROR(ABS(D296-($M$224+$M$225*C296+$M$226*C296*C296+$M$227*C296*C296*C296)),'Equipamiento y listas'!$I$24)</f>
        <v>5.4038848576975385E-2</v>
      </c>
      <c r="F296" s="1" t="b">
        <f t="shared" si="14"/>
        <v>0</v>
      </c>
      <c r="G296" s="1" t="e">
        <f t="shared" si="12"/>
        <v>#N/A</v>
      </c>
      <c r="I296" s="545"/>
      <c r="J296" s="552"/>
      <c r="K296" s="553"/>
      <c r="L296" s="553"/>
      <c r="M296" s="553"/>
      <c r="N296" s="554"/>
    </row>
    <row r="298" spans="1:15" ht="24.95" customHeight="1" x14ac:dyDescent="0.25">
      <c r="A298" s="536" t="s">
        <v>103</v>
      </c>
      <c r="B298" s="536"/>
      <c r="C298" s="536"/>
      <c r="D298" s="536"/>
      <c r="E298" s="536"/>
      <c r="F298" s="536"/>
      <c r="G298" s="536"/>
      <c r="H298" s="536"/>
      <c r="I298" s="536"/>
      <c r="J298" s="536"/>
      <c r="K298" s="536"/>
      <c r="L298" s="536"/>
      <c r="M298" s="536"/>
      <c r="N298" s="536"/>
      <c r="O298" s="536"/>
    </row>
    <row r="300" spans="1:15" x14ac:dyDescent="0.25">
      <c r="B300" s="537" t="s">
        <v>60</v>
      </c>
      <c r="C300" s="505"/>
      <c r="D300" s="505"/>
      <c r="E300" s="505"/>
      <c r="F300" s="505"/>
      <c r="G300" s="506"/>
      <c r="I300" s="508" t="s">
        <v>61</v>
      </c>
      <c r="J300" s="508"/>
      <c r="K300" s="508"/>
      <c r="L300" s="508"/>
      <c r="M300" s="508"/>
      <c r="N300" s="508"/>
    </row>
    <row r="301" spans="1:15" x14ac:dyDescent="0.25">
      <c r="B301" s="538"/>
      <c r="C301" s="508"/>
      <c r="D301" s="508"/>
      <c r="E301" s="508"/>
      <c r="F301" s="508"/>
      <c r="G301" s="509"/>
      <c r="I301" s="508"/>
      <c r="J301" s="508"/>
      <c r="K301" s="508"/>
      <c r="L301" s="508"/>
      <c r="M301" s="508"/>
      <c r="N301" s="508"/>
    </row>
    <row r="302" spans="1:15" x14ac:dyDescent="0.25">
      <c r="B302" s="538"/>
      <c r="C302" s="508"/>
      <c r="D302" s="508"/>
      <c r="E302" s="508"/>
      <c r="F302" s="508"/>
      <c r="G302" s="509"/>
      <c r="I302" s="508"/>
      <c r="J302" s="508"/>
      <c r="K302" s="508"/>
      <c r="L302" s="508"/>
      <c r="M302" s="508"/>
      <c r="N302" s="508"/>
    </row>
    <row r="303" spans="1:15" ht="14.45" customHeight="1" x14ac:dyDescent="0.25">
      <c r="B303" s="485" t="s">
        <v>26</v>
      </c>
      <c r="C303" s="485"/>
      <c r="D303" s="486"/>
      <c r="E303" s="479">
        <f>'Equipamiento y listas'!K25</f>
        <v>45334</v>
      </c>
      <c r="F303" s="480"/>
      <c r="G303" s="480"/>
      <c r="I303" s="485" t="s">
        <v>118</v>
      </c>
      <c r="J303" s="485"/>
      <c r="K303" s="486"/>
      <c r="L303" s="491"/>
      <c r="M303" s="492"/>
      <c r="N303" s="492"/>
    </row>
    <row r="304" spans="1:15" x14ac:dyDescent="0.25">
      <c r="B304" s="487"/>
      <c r="C304" s="487"/>
      <c r="D304" s="488"/>
      <c r="E304" s="481"/>
      <c r="F304" s="482"/>
      <c r="G304" s="482"/>
      <c r="I304" s="487"/>
      <c r="J304" s="487"/>
      <c r="K304" s="488"/>
      <c r="L304" s="493"/>
      <c r="M304" s="494"/>
      <c r="N304" s="494"/>
    </row>
    <row r="305" spans="1:14" x14ac:dyDescent="0.25">
      <c r="B305" s="489"/>
      <c r="C305" s="489"/>
      <c r="D305" s="490"/>
      <c r="E305" s="483"/>
      <c r="F305" s="484"/>
      <c r="G305" s="484"/>
      <c r="I305" s="489"/>
      <c r="J305" s="489"/>
      <c r="K305" s="490"/>
      <c r="L305" s="495"/>
      <c r="M305" s="496"/>
      <c r="N305" s="496"/>
    </row>
    <row r="306" spans="1:14" ht="14.45" customHeight="1" x14ac:dyDescent="0.25">
      <c r="B306" s="524" t="s">
        <v>68</v>
      </c>
      <c r="C306" s="497" t="s">
        <v>67</v>
      </c>
      <c r="D306" s="497" t="s">
        <v>69</v>
      </c>
      <c r="E306" s="497" t="s">
        <v>70</v>
      </c>
      <c r="F306" s="497" t="s">
        <v>58</v>
      </c>
      <c r="G306" s="499" t="s">
        <v>80</v>
      </c>
      <c r="I306" s="524" t="s">
        <v>68</v>
      </c>
      <c r="J306" s="497" t="s">
        <v>67</v>
      </c>
      <c r="K306" s="497" t="s">
        <v>69</v>
      </c>
      <c r="L306" s="497" t="s">
        <v>70</v>
      </c>
      <c r="M306" s="497" t="s">
        <v>58</v>
      </c>
      <c r="N306" s="499" t="s">
        <v>80</v>
      </c>
    </row>
    <row r="307" spans="1:14" x14ac:dyDescent="0.25">
      <c r="B307" s="525"/>
      <c r="C307" s="498"/>
      <c r="D307" s="498"/>
      <c r="E307" s="498"/>
      <c r="F307" s="498"/>
      <c r="G307" s="500"/>
      <c r="I307" s="525"/>
      <c r="J307" s="498"/>
      <c r="K307" s="498"/>
      <c r="L307" s="498"/>
      <c r="M307" s="498"/>
      <c r="N307" s="500"/>
    </row>
    <row r="308" spans="1:14" x14ac:dyDescent="0.25">
      <c r="B308" s="525"/>
      <c r="C308" s="498"/>
      <c r="D308" s="498"/>
      <c r="E308" s="498"/>
      <c r="F308" s="498"/>
      <c r="G308" s="500"/>
      <c r="I308" s="525"/>
      <c r="J308" s="498"/>
      <c r="K308" s="498"/>
      <c r="L308" s="498"/>
      <c r="M308" s="498"/>
      <c r="N308" s="500"/>
    </row>
    <row r="309" spans="1:14" ht="14.45" customHeight="1" x14ac:dyDescent="0.25">
      <c r="A309" s="6"/>
      <c r="B309" s="106">
        <v>-25.023</v>
      </c>
      <c r="C309" s="106">
        <v>-25.33</v>
      </c>
      <c r="D309" s="108">
        <v>0.307</v>
      </c>
      <c r="E309" s="108">
        <v>1.4999999999999999E-2</v>
      </c>
      <c r="F309" s="108">
        <v>2.0099999999999998</v>
      </c>
      <c r="G309" s="18">
        <f>IF(NOT(ISBLANK(C309)),$F$318+$F$319*C309+$F$320*C309*C309+$F$321*C309*C309*C309)</f>
        <v>0.31731419162938779</v>
      </c>
      <c r="H309" s="7"/>
      <c r="I309" s="17"/>
      <c r="J309" s="17"/>
      <c r="K309" s="17"/>
      <c r="L309" s="17"/>
      <c r="M309" s="17"/>
      <c r="N309" s="18" t="b">
        <f>IF(NOT(ISBLANK(J309)),$M$318+$M$319*J309+$M$320*J309*J309)</f>
        <v>0</v>
      </c>
    </row>
    <row r="310" spans="1:14" x14ac:dyDescent="0.25">
      <c r="B310" s="17">
        <v>-10.004</v>
      </c>
      <c r="C310" s="17">
        <v>-10.26</v>
      </c>
      <c r="D310" s="109">
        <v>0.25600000000000001</v>
      </c>
      <c r="E310" s="109">
        <v>1.4999999999999999E-2</v>
      </c>
      <c r="F310" s="108">
        <v>2.0099999999999998</v>
      </c>
      <c r="G310" s="18">
        <f t="shared" ref="G310:G317" si="15">IF(NOT(ISBLANK(C310)),$F$318+$F$319*C310+$F$320*C310*C310+$F$321*C310*C310*C310)</f>
        <v>0.25715730072315479</v>
      </c>
      <c r="H310" s="7"/>
      <c r="I310" s="17"/>
      <c r="J310" s="17"/>
      <c r="K310" s="17"/>
      <c r="L310" s="17"/>
      <c r="M310" s="17"/>
      <c r="N310" s="18" t="b">
        <f>IF(NOT(ISBLANK(J310)),$M$318+$M$319*J310+$M$320*J310*J310)</f>
        <v>0</v>
      </c>
    </row>
    <row r="311" spans="1:14" x14ac:dyDescent="0.25">
      <c r="B311" s="17">
        <v>-5.0000000000000001E-3</v>
      </c>
      <c r="C311" s="17">
        <v>-0.22</v>
      </c>
      <c r="D311" s="109">
        <v>0.215</v>
      </c>
      <c r="E311" s="109">
        <v>1.2E-2</v>
      </c>
      <c r="F311" s="108">
        <v>2.0099999999999998</v>
      </c>
      <c r="G311" s="18">
        <f t="shared" si="15"/>
        <v>0.22390134397226974</v>
      </c>
      <c r="H311" s="7"/>
      <c r="I311" s="17"/>
      <c r="J311" s="17"/>
      <c r="K311" s="17"/>
      <c r="L311" s="17"/>
      <c r="M311" s="17"/>
      <c r="N311" s="18" t="b">
        <f t="shared" ref="N311:N317" si="16">IF(NOT(ISBLANK(J311)),$M$318+$M$319*J311+$M$320*J311*J311)</f>
        <v>0</v>
      </c>
    </row>
    <row r="312" spans="1:14" x14ac:dyDescent="0.25">
      <c r="B312" s="17">
        <v>30.081</v>
      </c>
      <c r="C312" s="17">
        <v>29.88</v>
      </c>
      <c r="D312" s="109">
        <v>0.20100000000000001</v>
      </c>
      <c r="E312" s="109">
        <v>1.4999999999999999E-2</v>
      </c>
      <c r="F312" s="108">
        <v>2.0099999999999998</v>
      </c>
      <c r="G312" s="18">
        <f t="shared" si="15"/>
        <v>0.15420919951097894</v>
      </c>
      <c r="H312" s="7"/>
      <c r="I312" s="17"/>
      <c r="J312" s="17"/>
      <c r="K312" s="17"/>
      <c r="L312" s="17"/>
      <c r="M312" s="17"/>
      <c r="N312" s="18" t="b">
        <f t="shared" si="16"/>
        <v>0</v>
      </c>
    </row>
    <row r="313" spans="1:14" x14ac:dyDescent="0.25">
      <c r="B313" s="17">
        <v>100.017</v>
      </c>
      <c r="C313" s="17">
        <v>99.92</v>
      </c>
      <c r="D313" s="109">
        <v>9.7000000000000003E-2</v>
      </c>
      <c r="E313" s="109">
        <v>2.1999999999999999E-2</v>
      </c>
      <c r="F313" s="108">
        <v>2.0099999999999998</v>
      </c>
      <c r="G313" s="18">
        <f t="shared" si="15"/>
        <v>0.13514224959852847</v>
      </c>
      <c r="H313" s="7"/>
      <c r="I313" s="17"/>
      <c r="J313" s="17"/>
      <c r="K313" s="17"/>
      <c r="L313" s="17"/>
      <c r="M313" s="17"/>
      <c r="N313" s="18" t="b">
        <f t="shared" si="16"/>
        <v>0</v>
      </c>
    </row>
    <row r="314" spans="1:14" x14ac:dyDescent="0.25">
      <c r="B314" s="17">
        <v>200.00299999999999</v>
      </c>
      <c r="C314" s="17">
        <v>199.67</v>
      </c>
      <c r="D314" s="109">
        <v>0.33</v>
      </c>
      <c r="E314" s="109">
        <v>0.24</v>
      </c>
      <c r="F314" s="108">
        <v>2.0099999999999998</v>
      </c>
      <c r="G314" s="18">
        <f t="shared" si="15"/>
        <v>0.31725998290778462</v>
      </c>
      <c r="H314" s="7"/>
      <c r="I314" s="17"/>
      <c r="J314" s="17"/>
      <c r="K314" s="17"/>
      <c r="L314" s="17"/>
      <c r="M314" s="17"/>
      <c r="N314" s="18" t="b">
        <f t="shared" si="16"/>
        <v>0</v>
      </c>
    </row>
    <row r="315" spans="1:14" x14ac:dyDescent="0.25">
      <c r="B315" s="17">
        <v>400.07299999999998</v>
      </c>
      <c r="C315" s="17">
        <v>399.54</v>
      </c>
      <c r="D315" s="109">
        <v>0.53</v>
      </c>
      <c r="E315" s="109">
        <v>0.21</v>
      </c>
      <c r="F315" s="108">
        <v>2.0099999999999998</v>
      </c>
      <c r="G315" s="18">
        <f t="shared" si="15"/>
        <v>0.53101573165789517</v>
      </c>
      <c r="H315" s="7"/>
      <c r="I315" s="17"/>
      <c r="J315" s="17"/>
      <c r="K315" s="17"/>
      <c r="L315" s="17"/>
      <c r="M315" s="17"/>
      <c r="N315" s="18" t="b">
        <f t="shared" si="16"/>
        <v>0</v>
      </c>
    </row>
    <row r="316" spans="1:14" x14ac:dyDescent="0.25">
      <c r="B316" s="17"/>
      <c r="C316" s="17"/>
      <c r="D316" s="17"/>
      <c r="E316" s="17"/>
      <c r="F316" s="17"/>
      <c r="G316" s="18" t="b">
        <f t="shared" si="15"/>
        <v>0</v>
      </c>
      <c r="I316" s="17"/>
      <c r="J316" s="17"/>
      <c r="K316" s="17"/>
      <c r="L316" s="17"/>
      <c r="M316" s="17"/>
      <c r="N316" s="18" t="b">
        <f t="shared" si="16"/>
        <v>0</v>
      </c>
    </row>
    <row r="317" spans="1:14" x14ac:dyDescent="0.25">
      <c r="B317" s="19"/>
      <c r="C317" s="20"/>
      <c r="D317" s="20"/>
      <c r="E317" s="20"/>
      <c r="F317" s="17"/>
      <c r="G317" s="18" t="b">
        <f t="shared" si="15"/>
        <v>0</v>
      </c>
      <c r="I317" s="21"/>
      <c r="J317" s="17"/>
      <c r="K317" s="17"/>
      <c r="L317" s="17"/>
      <c r="M317" s="17"/>
      <c r="N317" s="18" t="b">
        <f t="shared" si="16"/>
        <v>0</v>
      </c>
    </row>
    <row r="318" spans="1:14" ht="17.100000000000001" customHeight="1" x14ac:dyDescent="0.25">
      <c r="B318" s="502" t="s">
        <v>62</v>
      </c>
      <c r="C318" s="515"/>
      <c r="D318" s="526" t="s">
        <v>63</v>
      </c>
      <c r="E318" s="527"/>
      <c r="F318" s="16">
        <f>INDEX(LINEST(D309:D315,C309:C315^{1,2,3}),4)</f>
        <v>0.22323140680828596</v>
      </c>
      <c r="G318" s="1" t="s">
        <v>16</v>
      </c>
      <c r="I318" s="502" t="s">
        <v>62</v>
      </c>
      <c r="J318" s="515"/>
      <c r="K318" s="526" t="s">
        <v>63</v>
      </c>
      <c r="L318" s="527"/>
      <c r="M318" s="16" t="e">
        <f>INDEX(LINEST(K309:K315,J309:J315^{1,2}),3)</f>
        <v>#VALUE!</v>
      </c>
      <c r="N318" s="1" t="s">
        <v>16</v>
      </c>
    </row>
    <row r="319" spans="1:14" ht="17.100000000000001" customHeight="1" x14ac:dyDescent="0.25">
      <c r="B319" s="502"/>
      <c r="C319" s="515"/>
      <c r="D319" s="526" t="s">
        <v>64</v>
      </c>
      <c r="E319" s="527"/>
      <c r="F319" s="16">
        <f>INDEX(LINEST(D309:D315,C309:C315^{1,2,3}),3)</f>
        <v>-3.0395308396350684E-3</v>
      </c>
      <c r="G319" s="1">
        <v>1</v>
      </c>
      <c r="I319" s="502"/>
      <c r="J319" s="515"/>
      <c r="K319" s="526" t="s">
        <v>64</v>
      </c>
      <c r="L319" s="527"/>
      <c r="M319" s="16" t="e">
        <f>INDEX(LINEST(K309:K315,J309:J315^{1,2}),2)</f>
        <v>#VALUE!</v>
      </c>
      <c r="N319" s="1">
        <v>1</v>
      </c>
    </row>
    <row r="320" spans="1:14" ht="17.100000000000001" customHeight="1" x14ac:dyDescent="0.25">
      <c r="B320" s="503"/>
      <c r="C320" s="516"/>
      <c r="D320" s="526" t="s">
        <v>65</v>
      </c>
      <c r="E320" s="527"/>
      <c r="F320" s="16">
        <f>INDEX(LINEST(D309:D315,C309:C315^{1,2,3}),2)</f>
        <v>2.5618814825809372E-5</v>
      </c>
      <c r="G320" s="1" t="s">
        <v>66</v>
      </c>
      <c r="I320" s="503"/>
      <c r="J320" s="516"/>
      <c r="K320" s="526" t="s">
        <v>65</v>
      </c>
      <c r="L320" s="527"/>
      <c r="M320" s="16" t="e">
        <f>INDEX(LINEST(K309:K315,J309:J315^{1,2}),1)</f>
        <v>#VALUE!</v>
      </c>
      <c r="N320" s="1" t="s">
        <v>66</v>
      </c>
    </row>
    <row r="321" spans="1:15" ht="17.100000000000001" customHeight="1" x14ac:dyDescent="0.25">
      <c r="B321" s="503"/>
      <c r="C321" s="516"/>
      <c r="D321" s="526" t="s">
        <v>193</v>
      </c>
      <c r="E321" s="527"/>
      <c r="F321" s="16">
        <f>INDEX(LINEST(D309:D315,C309:C315^{1,2,3}),1)</f>
        <v>-4.0254179658482651E-8</v>
      </c>
      <c r="G321" s="1" t="s">
        <v>410</v>
      </c>
      <c r="I321" s="503"/>
      <c r="J321" s="516"/>
      <c r="K321" s="526"/>
      <c r="L321" s="527"/>
      <c r="M321" s="16"/>
      <c r="N321" s="1"/>
    </row>
    <row r="322" spans="1:15" ht="17.100000000000001" customHeight="1" x14ac:dyDescent="0.25">
      <c r="B322" s="503"/>
      <c r="C322" s="516"/>
      <c r="D322" s="528" t="s">
        <v>71</v>
      </c>
      <c r="E322" s="529"/>
      <c r="F322" s="5">
        <f>RSQ(D309:D317,C309:C317)</f>
        <v>0.52956653647885055</v>
      </c>
      <c r="G322" s="1" t="s">
        <v>72</v>
      </c>
      <c r="I322" s="503"/>
      <c r="J322" s="516"/>
      <c r="K322" s="528" t="s">
        <v>71</v>
      </c>
      <c r="L322" s="529"/>
      <c r="M322" s="5" t="e">
        <f>RSQ(K309:K317,J309:J317)</f>
        <v>#DIV/0!</v>
      </c>
      <c r="N322" s="1" t="s">
        <v>72</v>
      </c>
    </row>
    <row r="323" spans="1:15" ht="17.100000000000001" customHeight="1" x14ac:dyDescent="0.25">
      <c r="B323" s="517"/>
      <c r="C323" s="518"/>
      <c r="D323" s="530" t="s">
        <v>81</v>
      </c>
      <c r="E323" s="531"/>
      <c r="F323" s="5">
        <f t="array" ref="F323">SQRT(SUMSQ(D309:D317-G309:G317)/(COUNT(D309:D317)-COUNT(F318:F321)))</f>
        <v>3.6489750979303862E-2</v>
      </c>
      <c r="G323" s="1" t="s">
        <v>16</v>
      </c>
      <c r="I323" s="517"/>
      <c r="J323" s="518"/>
      <c r="K323" s="530" t="s">
        <v>81</v>
      </c>
      <c r="L323" s="531"/>
      <c r="M323" s="5">
        <f t="array" ref="M323">SQRT(SUMSQ(K309:K317-N309:N317)/(COUNT(K309:K317)-3))</f>
        <v>0</v>
      </c>
      <c r="N323" s="1" t="s">
        <v>16</v>
      </c>
    </row>
    <row r="325" spans="1:15" ht="14.45" customHeight="1" x14ac:dyDescent="0.25">
      <c r="B325" s="501" t="s">
        <v>78</v>
      </c>
      <c r="C325" s="540" t="s">
        <v>79</v>
      </c>
      <c r="D325" s="540"/>
      <c r="E325" s="540"/>
      <c r="F325" s="540"/>
      <c r="G325" s="541"/>
    </row>
    <row r="326" spans="1:15" x14ac:dyDescent="0.25">
      <c r="B326" s="502"/>
      <c r="C326" s="515"/>
      <c r="D326" s="515"/>
      <c r="E326" s="515"/>
      <c r="F326" s="515"/>
      <c r="G326" s="535"/>
    </row>
    <row r="327" spans="1:15" x14ac:dyDescent="0.25">
      <c r="B327" s="502"/>
      <c r="C327" s="515"/>
      <c r="D327" s="515"/>
      <c r="E327" s="515"/>
      <c r="F327" s="515"/>
      <c r="G327" s="535"/>
    </row>
    <row r="328" spans="1:15" ht="14.45" customHeight="1" x14ac:dyDescent="0.25">
      <c r="B328" s="502"/>
      <c r="C328" s="515" t="s">
        <v>67</v>
      </c>
      <c r="D328" s="515" t="s">
        <v>69</v>
      </c>
      <c r="E328" s="515" t="s">
        <v>77</v>
      </c>
      <c r="F328" s="515" t="s">
        <v>70</v>
      </c>
      <c r="G328" s="535" t="s">
        <v>58</v>
      </c>
    </row>
    <row r="329" spans="1:15" x14ac:dyDescent="0.25">
      <c r="B329" s="502"/>
      <c r="C329" s="515"/>
      <c r="D329" s="515"/>
      <c r="E329" s="515"/>
      <c r="F329" s="515"/>
      <c r="G329" s="535"/>
    </row>
    <row r="330" spans="1:15" x14ac:dyDescent="0.25">
      <c r="B330" s="503"/>
      <c r="C330" s="518"/>
      <c r="D330" s="518"/>
      <c r="E330" s="518"/>
      <c r="F330" s="518"/>
      <c r="G330" s="522"/>
    </row>
    <row r="331" spans="1:15" ht="14.45" customHeight="1" x14ac:dyDescent="0.25">
      <c r="B331" s="41" t="s">
        <v>210</v>
      </c>
      <c r="C331" s="1">
        <f>'Información general'!D55</f>
        <v>0</v>
      </c>
      <c r="D331" s="5">
        <f>$F$318+$F$319*C331+$F$320*C331*C331+F321*C331*C331*C331</f>
        <v>0.22323140680828596</v>
      </c>
      <c r="E331" s="5">
        <f>IFERROR(ABS(D331-($M$318+$M$319*C331+$M$320*C331*C331)),0.1+0.05%*C331)</f>
        <v>0.1</v>
      </c>
      <c r="F331" s="1">
        <f>IF(AND(C309&lt;=C331,C331&lt;=C310),MAX(E309:E310),IF(AND(C310&lt;=C331,C331&lt;=C311),MAX(E310:E311),IF(AND(C311&lt;=C331,C331&lt;=C312),MAX(E311:E312),IF(AND(C312&lt;=C331,C331&lt;=C313),MAX(E312:E313),IF(AND(C313&lt;=C331,C331&lt;=C314),MAX(E313:E314),IF(AND(C314&lt;=C331,C331&lt;=C315),MAX(E314:E315),IF(AND(C315&lt;=C331,C331&lt;=C316),MAX(E315:E316),IF(AND(C316&lt;=C331,C331&lt;=C317),MAX(E316:E317)))))))))</f>
        <v>1.4999999999999999E-2</v>
      </c>
      <c r="G331" s="1">
        <f>VLOOKUP(F331,$E$19:$F$27,2)</f>
        <v>1.98</v>
      </c>
    </row>
    <row r="333" spans="1:15" ht="24.95" customHeight="1" x14ac:dyDescent="0.25">
      <c r="A333" s="536" t="s">
        <v>104</v>
      </c>
      <c r="B333" s="536"/>
      <c r="C333" s="536"/>
      <c r="D333" s="536"/>
      <c r="E333" s="536"/>
      <c r="F333" s="536"/>
      <c r="G333" s="536"/>
      <c r="H333" s="536"/>
      <c r="I333" s="536"/>
      <c r="J333" s="536"/>
      <c r="K333" s="536"/>
      <c r="L333" s="536"/>
      <c r="M333" s="536"/>
      <c r="N333" s="536"/>
      <c r="O333" s="536"/>
    </row>
    <row r="335" spans="1:15" x14ac:dyDescent="0.25">
      <c r="B335" s="537" t="s">
        <v>60</v>
      </c>
      <c r="C335" s="505"/>
      <c r="D335" s="505"/>
      <c r="E335" s="505"/>
      <c r="F335" s="505"/>
      <c r="G335" s="506"/>
      <c r="I335" s="508" t="s">
        <v>61</v>
      </c>
      <c r="J335" s="508"/>
      <c r="K335" s="508"/>
      <c r="L335" s="508"/>
      <c r="M335" s="508"/>
      <c r="N335" s="508"/>
    </row>
    <row r="336" spans="1:15" x14ac:dyDescent="0.25">
      <c r="B336" s="538"/>
      <c r="C336" s="508"/>
      <c r="D336" s="508"/>
      <c r="E336" s="508"/>
      <c r="F336" s="508"/>
      <c r="G336" s="509"/>
      <c r="I336" s="508"/>
      <c r="J336" s="508"/>
      <c r="K336" s="508"/>
      <c r="L336" s="508"/>
      <c r="M336" s="508"/>
      <c r="N336" s="508"/>
    </row>
    <row r="337" spans="1:14" x14ac:dyDescent="0.25">
      <c r="B337" s="538"/>
      <c r="C337" s="508"/>
      <c r="D337" s="508"/>
      <c r="E337" s="508"/>
      <c r="F337" s="508"/>
      <c r="G337" s="509"/>
      <c r="I337" s="508"/>
      <c r="J337" s="508"/>
      <c r="K337" s="508"/>
      <c r="L337" s="508"/>
      <c r="M337" s="508"/>
      <c r="N337" s="508"/>
    </row>
    <row r="338" spans="1:14" ht="14.45" customHeight="1" x14ac:dyDescent="0.25">
      <c r="B338" s="485" t="s">
        <v>26</v>
      </c>
      <c r="C338" s="485"/>
      <c r="D338" s="486"/>
      <c r="E338" s="479">
        <f>'Equipamiento y listas'!K26</f>
        <v>45254</v>
      </c>
      <c r="F338" s="480"/>
      <c r="G338" s="480"/>
      <c r="I338" s="485" t="s">
        <v>118</v>
      </c>
      <c r="J338" s="485"/>
      <c r="K338" s="486"/>
      <c r="L338" s="491" t="s">
        <v>82</v>
      </c>
      <c r="M338" s="492"/>
      <c r="N338" s="492"/>
    </row>
    <row r="339" spans="1:14" x14ac:dyDescent="0.25">
      <c r="B339" s="487"/>
      <c r="C339" s="487"/>
      <c r="D339" s="488"/>
      <c r="E339" s="481"/>
      <c r="F339" s="482"/>
      <c r="G339" s="482"/>
      <c r="I339" s="487"/>
      <c r="J339" s="487"/>
      <c r="K339" s="488"/>
      <c r="L339" s="493"/>
      <c r="M339" s="494"/>
      <c r="N339" s="494"/>
    </row>
    <row r="340" spans="1:14" x14ac:dyDescent="0.25">
      <c r="B340" s="489"/>
      <c r="C340" s="489"/>
      <c r="D340" s="490"/>
      <c r="E340" s="483"/>
      <c r="F340" s="484"/>
      <c r="G340" s="484"/>
      <c r="I340" s="489"/>
      <c r="J340" s="489"/>
      <c r="K340" s="490"/>
      <c r="L340" s="495"/>
      <c r="M340" s="496"/>
      <c r="N340" s="496"/>
    </row>
    <row r="341" spans="1:14" ht="14.45" customHeight="1" x14ac:dyDescent="0.25">
      <c r="B341" s="524" t="s">
        <v>68</v>
      </c>
      <c r="C341" s="497" t="s">
        <v>67</v>
      </c>
      <c r="D341" s="497" t="s">
        <v>69</v>
      </c>
      <c r="E341" s="497" t="s">
        <v>70</v>
      </c>
      <c r="F341" s="499" t="s">
        <v>58</v>
      </c>
      <c r="G341" s="485" t="s">
        <v>80</v>
      </c>
      <c r="I341" s="524" t="s">
        <v>68</v>
      </c>
      <c r="J341" s="497" t="s">
        <v>67</v>
      </c>
      <c r="K341" s="497" t="s">
        <v>69</v>
      </c>
      <c r="L341" s="497" t="s">
        <v>70</v>
      </c>
      <c r="M341" s="497" t="s">
        <v>58</v>
      </c>
      <c r="N341" s="499" t="s">
        <v>80</v>
      </c>
    </row>
    <row r="342" spans="1:14" x14ac:dyDescent="0.25">
      <c r="B342" s="525"/>
      <c r="C342" s="498"/>
      <c r="D342" s="498"/>
      <c r="E342" s="498"/>
      <c r="F342" s="500"/>
      <c r="G342" s="487"/>
      <c r="I342" s="525"/>
      <c r="J342" s="498"/>
      <c r="K342" s="498"/>
      <c r="L342" s="498"/>
      <c r="M342" s="498"/>
      <c r="N342" s="500"/>
    </row>
    <row r="343" spans="1:14" x14ac:dyDescent="0.25">
      <c r="B343" s="525"/>
      <c r="C343" s="498"/>
      <c r="D343" s="498"/>
      <c r="E343" s="498"/>
      <c r="F343" s="500"/>
      <c r="G343" s="487"/>
      <c r="I343" s="525"/>
      <c r="J343" s="498"/>
      <c r="K343" s="498"/>
      <c r="L343" s="498"/>
      <c r="M343" s="498"/>
      <c r="N343" s="500"/>
    </row>
    <row r="344" spans="1:14" ht="14.45" customHeight="1" x14ac:dyDescent="0.25">
      <c r="A344" s="6"/>
      <c r="B344" s="17">
        <v>-24.05</v>
      </c>
      <c r="C344" s="17">
        <v>-25.58</v>
      </c>
      <c r="D344" s="17">
        <v>1.53</v>
      </c>
      <c r="E344" s="17">
        <v>0.24</v>
      </c>
      <c r="F344" s="17">
        <v>1.65</v>
      </c>
      <c r="G344" s="18">
        <f t="array" ref="G344">IF(NOT(ISBLANK(C344)),$F$353+$F$354*C344+$F$355*C344*C344)</f>
        <v>1.2285395168727178</v>
      </c>
      <c r="H344" s="7"/>
      <c r="I344" s="17">
        <v>-19.920000000000002</v>
      </c>
      <c r="J344" s="17">
        <v>-20.100000000000001</v>
      </c>
      <c r="K344" s="17">
        <v>0.184</v>
      </c>
      <c r="L344" s="17">
        <v>0.02</v>
      </c>
      <c r="M344" s="17">
        <v>2</v>
      </c>
      <c r="N344" s="18">
        <f>IF(NOT(ISBLANK(J344)),$M$353+$M$354*J344+$M$355*J344*J344)</f>
        <v>0.18735544097376003</v>
      </c>
    </row>
    <row r="345" spans="1:14" x14ac:dyDescent="0.25">
      <c r="B345" s="17">
        <v>-9.48</v>
      </c>
      <c r="C345" s="17">
        <v>-10.38</v>
      </c>
      <c r="D345" s="17">
        <v>0.9</v>
      </c>
      <c r="E345" s="17">
        <v>0.24</v>
      </c>
      <c r="F345" s="17">
        <v>1.65</v>
      </c>
      <c r="G345" s="18">
        <f>IF(NOT(ISBLANK(C345)),$F$353+$F$354*C345+$F$355*C345*C345)</f>
        <v>0.86589017148339531</v>
      </c>
      <c r="H345" s="7"/>
      <c r="I345" s="17">
        <v>-9.9329999999999998</v>
      </c>
      <c r="J345" s="17">
        <v>-10.07</v>
      </c>
      <c r="K345" s="17">
        <v>0.13400000000000001</v>
      </c>
      <c r="L345" s="17">
        <v>0.02</v>
      </c>
      <c r="M345" s="17">
        <v>2</v>
      </c>
      <c r="N345" s="18">
        <f t="shared" ref="N345:N352" si="17">IF(NOT(ISBLANK(J345)),$M$353+$M$354*J345+$M$355*J345*J345)</f>
        <v>0.13128065092969599</v>
      </c>
    </row>
    <row r="346" spans="1:14" x14ac:dyDescent="0.25">
      <c r="B346" s="17">
        <v>0.35</v>
      </c>
      <c r="C346" s="17">
        <v>-0.22</v>
      </c>
      <c r="D346" s="17">
        <v>0.56999999999999995</v>
      </c>
      <c r="E346" s="17">
        <v>0.24</v>
      </c>
      <c r="F346" s="17">
        <v>1.65</v>
      </c>
      <c r="G346" s="18">
        <f t="shared" ref="G346:G352" si="18">IF(NOT(ISBLANK(C346)),$F$353+$F$354*C346+$F$355*C346*C346)</f>
        <v>0.63903391592262582</v>
      </c>
      <c r="H346" s="7"/>
      <c r="I346" s="17">
        <v>1.2999999999999999E-2</v>
      </c>
      <c r="J346" s="17">
        <v>-7.0000000000000007E-2</v>
      </c>
      <c r="K346" s="17">
        <v>8.3000000000000004E-2</v>
      </c>
      <c r="L346" s="17">
        <v>0.02</v>
      </c>
      <c r="M346" s="17">
        <v>2</v>
      </c>
      <c r="N346" s="18">
        <f t="shared" si="17"/>
        <v>7.878393130682429E-2</v>
      </c>
    </row>
    <row r="347" spans="1:14" x14ac:dyDescent="0.25">
      <c r="B347" s="17">
        <v>10.14</v>
      </c>
      <c r="C347" s="17">
        <v>9.91</v>
      </c>
      <c r="D347" s="17">
        <v>0.23</v>
      </c>
      <c r="E347" s="17">
        <v>0.24</v>
      </c>
      <c r="F347" s="17">
        <v>1.65</v>
      </c>
      <c r="G347" s="18">
        <f t="shared" si="18"/>
        <v>0.42524897191659961</v>
      </c>
      <c r="H347" s="7"/>
      <c r="I347" s="17">
        <v>99.876999999999995</v>
      </c>
      <c r="J347" s="17">
        <v>100.145</v>
      </c>
      <c r="K347" s="17">
        <v>-0.26800000000000002</v>
      </c>
      <c r="L347" s="17">
        <v>7.0999999999999994E-2</v>
      </c>
      <c r="M347" s="17">
        <v>2</v>
      </c>
      <c r="N347" s="18">
        <f t="shared" si="17"/>
        <v>-0.25925414972622346</v>
      </c>
    </row>
    <row r="348" spans="1:14" x14ac:dyDescent="0.25">
      <c r="B348" s="17">
        <v>49.12</v>
      </c>
      <c r="C348" s="17">
        <v>49.66</v>
      </c>
      <c r="D348" s="17">
        <v>-0.54</v>
      </c>
      <c r="E348" s="17">
        <v>0.25</v>
      </c>
      <c r="F348" s="17">
        <v>1.65</v>
      </c>
      <c r="G348" s="18">
        <f t="shared" si="18"/>
        <v>-0.29400928987756936</v>
      </c>
      <c r="H348" s="7"/>
      <c r="I348" s="17">
        <v>199.62</v>
      </c>
      <c r="J348" s="17">
        <v>199.87</v>
      </c>
      <c r="K348" s="17">
        <v>-0.25</v>
      </c>
      <c r="L348" s="17">
        <v>0.15</v>
      </c>
      <c r="M348" s="17">
        <v>2</v>
      </c>
      <c r="N348" s="18">
        <f t="shared" si="17"/>
        <v>-0.25615358016824274</v>
      </c>
    </row>
    <row r="349" spans="1:14" x14ac:dyDescent="0.25">
      <c r="B349" s="17">
        <v>100.74</v>
      </c>
      <c r="C349" s="17">
        <v>101.69</v>
      </c>
      <c r="D349" s="17">
        <v>-0.95</v>
      </c>
      <c r="E349" s="17">
        <v>0.25</v>
      </c>
      <c r="F349" s="17">
        <v>1.65</v>
      </c>
      <c r="G349" s="18">
        <f t="shared" si="18"/>
        <v>-0.94734208512504103</v>
      </c>
      <c r="H349" s="7"/>
      <c r="I349" s="17">
        <v>399.49</v>
      </c>
      <c r="J349" s="17">
        <v>398.73</v>
      </c>
      <c r="K349" s="17">
        <v>0.76</v>
      </c>
      <c r="L349" s="17">
        <v>0.23</v>
      </c>
      <c r="M349" s="17">
        <v>2</v>
      </c>
      <c r="N349" s="18">
        <f t="shared" si="17"/>
        <v>0.76098770668418614</v>
      </c>
    </row>
    <row r="350" spans="1:14" x14ac:dyDescent="0.25">
      <c r="B350" s="17">
        <v>200.55</v>
      </c>
      <c r="C350" s="17">
        <v>201.53</v>
      </c>
      <c r="D350" s="17">
        <v>-0.98</v>
      </c>
      <c r="E350" s="17">
        <v>0.87</v>
      </c>
      <c r="F350" s="17">
        <v>1.65</v>
      </c>
      <c r="G350" s="18">
        <f t="shared" si="18"/>
        <v>-1.2861509009463923</v>
      </c>
      <c r="H350" s="7"/>
      <c r="I350" s="17"/>
      <c r="J350" s="17"/>
      <c r="K350" s="17"/>
      <c r="L350" s="17"/>
      <c r="M350" s="17"/>
      <c r="N350" s="18" t="b">
        <f t="shared" si="17"/>
        <v>0</v>
      </c>
    </row>
    <row r="351" spans="1:14" x14ac:dyDescent="0.25">
      <c r="B351" s="17">
        <v>301.33</v>
      </c>
      <c r="C351" s="17">
        <v>301.87</v>
      </c>
      <c r="D351" s="17">
        <v>-0.54</v>
      </c>
      <c r="E351" s="17">
        <v>0.87</v>
      </c>
      <c r="F351" s="17">
        <v>1.65</v>
      </c>
      <c r="G351" s="18">
        <f t="shared" si="18"/>
        <v>-0.41473042660530623</v>
      </c>
      <c r="I351" s="17"/>
      <c r="J351" s="17"/>
      <c r="K351" s="17"/>
      <c r="L351" s="17"/>
      <c r="M351" s="17"/>
      <c r="N351" s="18" t="b">
        <f t="shared" si="17"/>
        <v>0</v>
      </c>
    </row>
    <row r="352" spans="1:14" x14ac:dyDescent="0.25">
      <c r="B352" s="19">
        <v>402.8</v>
      </c>
      <c r="C352" s="20">
        <v>401.16</v>
      </c>
      <c r="D352" s="20">
        <v>1.64</v>
      </c>
      <c r="E352" s="20">
        <v>0.87</v>
      </c>
      <c r="F352" s="17">
        <v>1.65</v>
      </c>
      <c r="G352" s="18">
        <f t="shared" si="18"/>
        <v>1.6435201263589718</v>
      </c>
      <c r="I352" s="21"/>
      <c r="J352" s="17"/>
      <c r="K352" s="17"/>
      <c r="L352" s="17"/>
      <c r="M352" s="17"/>
      <c r="N352" s="18" t="b">
        <f t="shared" si="17"/>
        <v>0</v>
      </c>
    </row>
    <row r="353" spans="1:15" ht="17.100000000000001" customHeight="1" x14ac:dyDescent="0.25">
      <c r="B353" s="502" t="s">
        <v>62</v>
      </c>
      <c r="C353" s="515"/>
      <c r="D353" s="526" t="s">
        <v>63</v>
      </c>
      <c r="E353" s="527"/>
      <c r="F353" s="16">
        <f>INDEX(LINEST(D344:D352,C344:C352^{1,2}),3)</f>
        <v>0.63425945898829106</v>
      </c>
      <c r="G353" s="1" t="s">
        <v>16</v>
      </c>
      <c r="I353" s="502" t="s">
        <v>62</v>
      </c>
      <c r="J353" s="515"/>
      <c r="K353" s="526" t="s">
        <v>63</v>
      </c>
      <c r="L353" s="527"/>
      <c r="M353" s="16">
        <f>INDEX(LINEST(K344:K349,J344:J349^{1,2}),3)</f>
        <v>7.8428456042611616E-2</v>
      </c>
      <c r="N353" s="1" t="s">
        <v>16</v>
      </c>
    </row>
    <row r="354" spans="1:15" ht="17.100000000000001" customHeight="1" x14ac:dyDescent="0.25">
      <c r="B354" s="502"/>
      <c r="C354" s="515"/>
      <c r="D354" s="526" t="s">
        <v>64</v>
      </c>
      <c r="E354" s="527"/>
      <c r="F354" s="16">
        <f>INDEX(LINEST(D344:D352,C344:C352^{1,2}),2)</f>
        <v>-2.1688802906817666E-2</v>
      </c>
      <c r="G354" s="1">
        <v>1</v>
      </c>
      <c r="I354" s="502"/>
      <c r="J354" s="515"/>
      <c r="K354" s="526" t="s">
        <v>64</v>
      </c>
      <c r="L354" s="527"/>
      <c r="M354" s="16">
        <f>INDEX(LINEST(K344:K349,J344:J349^{1,2}),2)</f>
        <v>-5.0770262257077729E-3</v>
      </c>
      <c r="N354" s="1">
        <v>1</v>
      </c>
    </row>
    <row r="355" spans="1:15" ht="17.100000000000001" customHeight="1" x14ac:dyDescent="0.25">
      <c r="B355" s="503"/>
      <c r="C355" s="516"/>
      <c r="D355" s="526" t="s">
        <v>65</v>
      </c>
      <c r="E355" s="527"/>
      <c r="F355" s="16">
        <f>INDEX(LINEST(D344:D352,C344:C352^{1,2}),1)</f>
        <v>6.0336670140971828E-5</v>
      </c>
      <c r="G355" s="1" t="s">
        <v>66</v>
      </c>
      <c r="I355" s="503"/>
      <c r="J355" s="516"/>
      <c r="K355" s="526" t="s">
        <v>65</v>
      </c>
      <c r="L355" s="527"/>
      <c r="M355" s="16">
        <f>INDEX(LINEST(K344:K349,J344:J349^{1,2}),1)</f>
        <v>1.7026206763253826E-5</v>
      </c>
      <c r="N355" s="1" t="s">
        <v>66</v>
      </c>
    </row>
    <row r="356" spans="1:15" ht="17.100000000000001" customHeight="1" x14ac:dyDescent="0.25">
      <c r="B356" s="503"/>
      <c r="C356" s="516"/>
      <c r="D356" s="528" t="s">
        <v>71</v>
      </c>
      <c r="E356" s="529"/>
      <c r="F356" s="5">
        <f>RSQ(D344:D352,C344:C352)</f>
        <v>4.6440500069855721E-3</v>
      </c>
      <c r="G356" s="1" t="s">
        <v>72</v>
      </c>
      <c r="I356" s="503"/>
      <c r="J356" s="516"/>
      <c r="K356" s="528" t="s">
        <v>71</v>
      </c>
      <c r="L356" s="529"/>
      <c r="M356" s="5">
        <f>RSQ(K344:K352,J344:J352)</f>
        <v>0.23606373280686213</v>
      </c>
      <c r="N356" s="1" t="s">
        <v>72</v>
      </c>
    </row>
    <row r="357" spans="1:15" ht="17.100000000000001" customHeight="1" x14ac:dyDescent="0.25">
      <c r="B357" s="517"/>
      <c r="C357" s="518"/>
      <c r="D357" s="530" t="s">
        <v>81</v>
      </c>
      <c r="E357" s="531"/>
      <c r="F357" s="5">
        <f t="array" ref="F357">SQRT(SUMSQ(D344:D352-G344:G352)/(COUNT(D344:D352)-COUNT(F353:F355)))</f>
        <v>0.22541867391857295</v>
      </c>
      <c r="G357" s="1" t="s">
        <v>16</v>
      </c>
      <c r="I357" s="517"/>
      <c r="J357" s="518"/>
      <c r="K357" s="530" t="s">
        <v>81</v>
      </c>
      <c r="L357" s="531"/>
      <c r="M357" s="5">
        <f t="array" ref="M357">SQRT(SUMSQ(K344:K352-N344:N352)/(COUNT(K344:K352)-3))</f>
        <v>7.1124559544604856E-3</v>
      </c>
      <c r="N357" s="1" t="s">
        <v>16</v>
      </c>
    </row>
    <row r="359" spans="1:15" ht="14.45" customHeight="1" x14ac:dyDescent="0.25">
      <c r="B359" s="501" t="s">
        <v>78</v>
      </c>
      <c r="C359" s="504" t="s">
        <v>79</v>
      </c>
      <c r="D359" s="505"/>
      <c r="E359" s="505"/>
      <c r="F359" s="505"/>
      <c r="G359" s="506"/>
    </row>
    <row r="360" spans="1:15" x14ac:dyDescent="0.25">
      <c r="B360" s="502"/>
      <c r="C360" s="507"/>
      <c r="D360" s="508"/>
      <c r="E360" s="508"/>
      <c r="F360" s="508"/>
      <c r="G360" s="509"/>
    </row>
    <row r="361" spans="1:15" x14ac:dyDescent="0.25">
      <c r="B361" s="502"/>
      <c r="C361" s="510"/>
      <c r="D361" s="511"/>
      <c r="E361" s="511"/>
      <c r="F361" s="511"/>
      <c r="G361" s="512"/>
    </row>
    <row r="362" spans="1:15" ht="14.45" customHeight="1" x14ac:dyDescent="0.25">
      <c r="B362" s="502"/>
      <c r="C362" s="497" t="s">
        <v>67</v>
      </c>
      <c r="D362" s="497" t="s">
        <v>69</v>
      </c>
      <c r="E362" s="497" t="s">
        <v>77</v>
      </c>
      <c r="F362" s="497" t="s">
        <v>70</v>
      </c>
      <c r="G362" s="499" t="s">
        <v>58</v>
      </c>
    </row>
    <row r="363" spans="1:15" x14ac:dyDescent="0.25">
      <c r="B363" s="502"/>
      <c r="C363" s="498"/>
      <c r="D363" s="498"/>
      <c r="E363" s="498"/>
      <c r="F363" s="498"/>
      <c r="G363" s="500"/>
    </row>
    <row r="364" spans="1:15" x14ac:dyDescent="0.25">
      <c r="B364" s="503"/>
      <c r="C364" s="498"/>
      <c r="D364" s="498"/>
      <c r="E364" s="498"/>
      <c r="F364" s="498"/>
      <c r="G364" s="500"/>
    </row>
    <row r="365" spans="1:15" ht="14.45" customHeight="1" x14ac:dyDescent="0.25">
      <c r="B365" s="41" t="s">
        <v>210</v>
      </c>
      <c r="C365" s="1">
        <f>'Información general'!D55</f>
        <v>0</v>
      </c>
      <c r="D365" s="5">
        <f>F353+F354*C365+F355*C365*C365</f>
        <v>0.63425945898829106</v>
      </c>
      <c r="E365" s="5">
        <f>IFERROR(ABS(D365-(M353+M354*C365+M355*C365*C365)),0.1+0.05%*C365)</f>
        <v>0.55583100294567944</v>
      </c>
      <c r="F365" s="1">
        <f>IF(AND(C344&lt;=C365,C365&lt;=C345),MAX(E344:E345),IF(AND(C345&lt;=C365,C365&lt;=C346),MAX(E345:E346),IF(AND(C346&lt;=C365,C365&lt;=C347),MAX(E346:E347),IF(AND(C347&lt;=C365,C365&lt;=C348),MAX(E347:E348),IF(AND(C348&lt;=C365,C365&lt;=C349),MAX(E348:E349),IF(AND(C349&lt;=C365,C365&lt;=C350),MAX(E349:E350),IF(AND(C350&lt;=C365,C365&lt;=C351),MAX(E350:E351),IF(AND(C351&lt;=C365,C365&lt;=C352),MAX(E351:E352)))))))))</f>
        <v>0.24</v>
      </c>
      <c r="G365" s="1" t="e">
        <f>VLOOKUP(F365,$E$112:$F$120,2)</f>
        <v>#N/A</v>
      </c>
    </row>
    <row r="367" spans="1:15" ht="24.95" customHeight="1" x14ac:dyDescent="0.25">
      <c r="A367" s="536" t="s">
        <v>105</v>
      </c>
      <c r="B367" s="536"/>
      <c r="C367" s="536"/>
      <c r="D367" s="536"/>
      <c r="E367" s="536"/>
      <c r="F367" s="536"/>
      <c r="G367" s="536"/>
      <c r="H367" s="536"/>
      <c r="I367" s="536"/>
      <c r="J367" s="536"/>
      <c r="K367" s="536"/>
      <c r="L367" s="536"/>
      <c r="M367" s="536"/>
      <c r="N367" s="536"/>
      <c r="O367" s="536"/>
    </row>
    <row r="369" spans="1:14" x14ac:dyDescent="0.25">
      <c r="B369" s="537" t="s">
        <v>60</v>
      </c>
      <c r="C369" s="505"/>
      <c r="D369" s="505"/>
      <c r="E369" s="505"/>
      <c r="F369" s="505"/>
      <c r="G369" s="506"/>
      <c r="I369" s="508" t="s">
        <v>61</v>
      </c>
      <c r="J369" s="508"/>
      <c r="K369" s="508"/>
      <c r="L369" s="508"/>
      <c r="M369" s="508"/>
      <c r="N369" s="508"/>
    </row>
    <row r="370" spans="1:14" x14ac:dyDescent="0.25">
      <c r="B370" s="538"/>
      <c r="C370" s="508"/>
      <c r="D370" s="508"/>
      <c r="E370" s="508"/>
      <c r="F370" s="508"/>
      <c r="G370" s="509"/>
      <c r="I370" s="508"/>
      <c r="J370" s="508"/>
      <c r="K370" s="508"/>
      <c r="L370" s="508"/>
      <c r="M370" s="508"/>
      <c r="N370" s="508"/>
    </row>
    <row r="371" spans="1:14" x14ac:dyDescent="0.25">
      <c r="B371" s="538"/>
      <c r="C371" s="508"/>
      <c r="D371" s="508"/>
      <c r="E371" s="508"/>
      <c r="F371" s="508"/>
      <c r="G371" s="509"/>
      <c r="I371" s="508"/>
      <c r="J371" s="508"/>
      <c r="K371" s="508"/>
      <c r="L371" s="508"/>
      <c r="M371" s="508"/>
      <c r="N371" s="508"/>
    </row>
    <row r="372" spans="1:14" ht="14.45" customHeight="1" x14ac:dyDescent="0.25">
      <c r="B372" s="485" t="s">
        <v>26</v>
      </c>
      <c r="C372" s="485"/>
      <c r="D372" s="486"/>
      <c r="E372" s="479">
        <f>'Equipamiento y listas'!K27</f>
        <v>45224</v>
      </c>
      <c r="F372" s="480"/>
      <c r="G372" s="480"/>
      <c r="I372" s="485" t="s">
        <v>118</v>
      </c>
      <c r="J372" s="485"/>
      <c r="K372" s="486"/>
      <c r="L372" s="491" t="s">
        <v>83</v>
      </c>
      <c r="M372" s="492"/>
      <c r="N372" s="492"/>
    </row>
    <row r="373" spans="1:14" x14ac:dyDescent="0.25">
      <c r="B373" s="487"/>
      <c r="C373" s="487"/>
      <c r="D373" s="488"/>
      <c r="E373" s="481"/>
      <c r="F373" s="482"/>
      <c r="G373" s="482"/>
      <c r="I373" s="487"/>
      <c r="J373" s="487"/>
      <c r="K373" s="488"/>
      <c r="L373" s="493"/>
      <c r="M373" s="494"/>
      <c r="N373" s="494"/>
    </row>
    <row r="374" spans="1:14" x14ac:dyDescent="0.25">
      <c r="B374" s="489"/>
      <c r="C374" s="489"/>
      <c r="D374" s="490"/>
      <c r="E374" s="483"/>
      <c r="F374" s="484"/>
      <c r="G374" s="484"/>
      <c r="I374" s="489"/>
      <c r="J374" s="489"/>
      <c r="K374" s="490"/>
      <c r="L374" s="495"/>
      <c r="M374" s="496"/>
      <c r="N374" s="496"/>
    </row>
    <row r="375" spans="1:14" ht="14.45" customHeight="1" x14ac:dyDescent="0.25">
      <c r="B375" s="524" t="s">
        <v>68</v>
      </c>
      <c r="C375" s="497" t="s">
        <v>67</v>
      </c>
      <c r="D375" s="497" t="s">
        <v>69</v>
      </c>
      <c r="E375" s="497" t="s">
        <v>70</v>
      </c>
      <c r="F375" s="518" t="s">
        <v>58</v>
      </c>
      <c r="G375" s="522" t="s">
        <v>80</v>
      </c>
      <c r="I375" s="524" t="s">
        <v>68</v>
      </c>
      <c r="J375" s="497" t="s">
        <v>67</v>
      </c>
      <c r="K375" s="497" t="s">
        <v>69</v>
      </c>
      <c r="L375" s="497" t="s">
        <v>70</v>
      </c>
      <c r="M375" s="497" t="s">
        <v>58</v>
      </c>
      <c r="N375" s="499" t="s">
        <v>80</v>
      </c>
    </row>
    <row r="376" spans="1:14" x14ac:dyDescent="0.25">
      <c r="B376" s="525"/>
      <c r="C376" s="498"/>
      <c r="D376" s="498"/>
      <c r="E376" s="498"/>
      <c r="F376" s="498"/>
      <c r="G376" s="500"/>
      <c r="I376" s="525"/>
      <c r="J376" s="498"/>
      <c r="K376" s="498"/>
      <c r="L376" s="498"/>
      <c r="M376" s="498"/>
      <c r="N376" s="500"/>
    </row>
    <row r="377" spans="1:14" x14ac:dyDescent="0.25">
      <c r="B377" s="539"/>
      <c r="C377" s="521"/>
      <c r="D377" s="521"/>
      <c r="E377" s="521"/>
      <c r="F377" s="521"/>
      <c r="G377" s="523"/>
      <c r="I377" s="525"/>
      <c r="J377" s="498"/>
      <c r="K377" s="498"/>
      <c r="L377" s="498"/>
      <c r="M377" s="498"/>
      <c r="N377" s="500"/>
    </row>
    <row r="378" spans="1:14" ht="14.45" customHeight="1" x14ac:dyDescent="0.25">
      <c r="A378" s="6"/>
      <c r="B378" s="44">
        <v>-25.2</v>
      </c>
      <c r="C378" s="44">
        <v>-25.4</v>
      </c>
      <c r="D378" s="44">
        <v>0.19</v>
      </c>
      <c r="E378" s="44">
        <v>0.24</v>
      </c>
      <c r="F378" s="44">
        <v>1.65</v>
      </c>
      <c r="G378" s="45">
        <f>IF(NOT(ISBLANK(C378)),$F$387+$F$388*C378+$F$389*C378*C378+$F$390*C378*C378*C378+$F$391*C378*C378*C378*C378)</f>
        <v>0.21478366988419417</v>
      </c>
      <c r="H378" s="7"/>
      <c r="I378" s="17">
        <v>-24.943000000000001</v>
      </c>
      <c r="J378" s="17">
        <v>-25.17</v>
      </c>
      <c r="K378" s="17">
        <v>0.224</v>
      </c>
      <c r="L378" s="17">
        <v>1.9E-2</v>
      </c>
      <c r="M378" s="17">
        <v>2</v>
      </c>
      <c r="N378" s="22">
        <f t="shared" ref="N378:N386" si="19">IF(NOT(ISBLANK(J378)),$M$387+$M$388*J378+$M$391*J378*J378)</f>
        <v>0.35994196153127012</v>
      </c>
    </row>
    <row r="379" spans="1:14" x14ac:dyDescent="0.25">
      <c r="B379" s="17">
        <v>-10.37</v>
      </c>
      <c r="C379" s="17">
        <v>-10.44</v>
      </c>
      <c r="D379" s="17">
        <v>7.0000000000000007E-2</v>
      </c>
      <c r="E379" s="17">
        <v>0.24</v>
      </c>
      <c r="F379" s="17">
        <v>1.65</v>
      </c>
      <c r="G379" s="45">
        <f t="shared" ref="G379:G386" si="20">IF(NOT(ISBLANK(C379)),$F$387+$F$388*C379+$F$389*C379*C379+$F$390*C379*C379*C379+$F$391*C379*C379*C379*C379)</f>
        <v>6.4111210086280568E-2</v>
      </c>
      <c r="H379" s="7"/>
      <c r="I379" s="17">
        <v>-9.9009999999999998</v>
      </c>
      <c r="J379" s="17">
        <v>-10.1</v>
      </c>
      <c r="K379" s="17">
        <v>0.19600000000000001</v>
      </c>
      <c r="L379" s="17">
        <v>1.9E-2</v>
      </c>
      <c r="M379" s="17">
        <v>2</v>
      </c>
      <c r="N379" s="22">
        <f t="shared" si="19"/>
        <v>0.17849043000163348</v>
      </c>
    </row>
    <row r="380" spans="1:14" x14ac:dyDescent="0.25">
      <c r="B380" s="17">
        <v>-0.09</v>
      </c>
      <c r="C380" s="17">
        <v>-0.09</v>
      </c>
      <c r="D380" s="17">
        <v>0</v>
      </c>
      <c r="E380" s="17">
        <v>0.24</v>
      </c>
      <c r="F380" s="17">
        <v>1.65</v>
      </c>
      <c r="G380" s="45">
        <f t="shared" si="20"/>
        <v>-1.0941466303230191E-2</v>
      </c>
      <c r="H380" s="7"/>
      <c r="I380" s="17">
        <v>5.8999999999999997E-2</v>
      </c>
      <c r="J380" s="17">
        <v>-0.1</v>
      </c>
      <c r="K380" s="17">
        <v>0.159</v>
      </c>
      <c r="L380" s="17">
        <v>1.9E-2</v>
      </c>
      <c r="M380" s="17">
        <v>2</v>
      </c>
      <c r="N380" s="22">
        <f t="shared" si="19"/>
        <v>6.4576243675993766E-2</v>
      </c>
    </row>
    <row r="381" spans="1:14" x14ac:dyDescent="0.25">
      <c r="B381" s="17">
        <v>10.039999999999999</v>
      </c>
      <c r="C381" s="17">
        <v>10.09</v>
      </c>
      <c r="D381" s="17">
        <v>-0.05</v>
      </c>
      <c r="E381" s="17">
        <v>0.24</v>
      </c>
      <c r="F381" s="17">
        <v>1.65</v>
      </c>
      <c r="G381" s="45">
        <f t="shared" si="20"/>
        <v>-6.5262126657903347E-2</v>
      </c>
      <c r="H381" s="7"/>
      <c r="I381" s="17">
        <v>99.64</v>
      </c>
      <c r="J381" s="17">
        <v>100.3</v>
      </c>
      <c r="K381" s="17">
        <v>-0.66</v>
      </c>
      <c r="L381" s="17">
        <v>0.47</v>
      </c>
      <c r="M381" s="17">
        <v>2</v>
      </c>
      <c r="N381" s="22">
        <f t="shared" si="19"/>
        <v>-0.79210975021164587</v>
      </c>
    </row>
    <row r="382" spans="1:14" x14ac:dyDescent="0.25">
      <c r="B382" s="17">
        <v>50.21</v>
      </c>
      <c r="C382" s="17">
        <v>50.32</v>
      </c>
      <c r="D382" s="17">
        <v>-0.11</v>
      </c>
      <c r="E382" s="17">
        <v>0.25</v>
      </c>
      <c r="F382" s="17">
        <v>1.65</v>
      </c>
      <c r="G382" s="45">
        <f t="shared" si="20"/>
        <v>-0.14630973441755521</v>
      </c>
      <c r="H382" s="7"/>
      <c r="I382" s="17">
        <v>198.72</v>
      </c>
      <c r="J382" s="17">
        <v>199.98</v>
      </c>
      <c r="K382" s="17">
        <v>-1.26</v>
      </c>
      <c r="L382" s="17">
        <v>0.48</v>
      </c>
      <c r="M382" s="17">
        <v>2</v>
      </c>
      <c r="N382" s="22">
        <f t="shared" si="19"/>
        <v>-1.1262243495382718</v>
      </c>
    </row>
    <row r="383" spans="1:14" x14ac:dyDescent="0.25">
      <c r="B383" s="17">
        <v>100.16</v>
      </c>
      <c r="C383" s="17">
        <v>100.35</v>
      </c>
      <c r="D383" s="17">
        <v>-0.19</v>
      </c>
      <c r="E383" s="17">
        <v>0.25</v>
      </c>
      <c r="F383" s="17">
        <v>1.65</v>
      </c>
      <c r="G383" s="45">
        <f t="shared" si="20"/>
        <v>-0.1146302477146416</v>
      </c>
      <c r="H383" s="7"/>
      <c r="I383" s="17">
        <v>399.65</v>
      </c>
      <c r="J383" s="17">
        <v>399.87</v>
      </c>
      <c r="K383" s="17">
        <v>-0.22</v>
      </c>
      <c r="L383" s="17">
        <v>0.49</v>
      </c>
      <c r="M383" s="17">
        <v>2</v>
      </c>
      <c r="N383" s="22">
        <f t="shared" si="19"/>
        <v>-0.24567453545898132</v>
      </c>
    </row>
    <row r="384" spans="1:14" x14ac:dyDescent="0.25">
      <c r="B384" s="17">
        <v>200.03</v>
      </c>
      <c r="C384" s="17">
        <v>200.18</v>
      </c>
      <c r="D384" s="17">
        <v>-0.15</v>
      </c>
      <c r="E384" s="17">
        <v>0.26</v>
      </c>
      <c r="F384" s="17">
        <v>1.65</v>
      </c>
      <c r="G384" s="45">
        <f t="shared" si="20"/>
        <v>-0.1990714532680542</v>
      </c>
      <c r="H384" s="7"/>
      <c r="I384" s="17"/>
      <c r="J384" s="17"/>
      <c r="K384" s="17"/>
      <c r="L384" s="17"/>
      <c r="M384" s="17"/>
      <c r="N384" s="22" t="b">
        <f t="shared" si="19"/>
        <v>0</v>
      </c>
    </row>
    <row r="385" spans="2:14" x14ac:dyDescent="0.25">
      <c r="B385" s="17">
        <v>300.54000000000002</v>
      </c>
      <c r="C385" s="17">
        <v>300.93</v>
      </c>
      <c r="D385" s="17">
        <v>-0.39</v>
      </c>
      <c r="E385" s="17">
        <v>0.26</v>
      </c>
      <c r="F385" s="17">
        <v>1.65</v>
      </c>
      <c r="G385" s="45">
        <f t="shared" si="20"/>
        <v>-0.36855746560411085</v>
      </c>
      <c r="I385" s="17"/>
      <c r="J385" s="17"/>
      <c r="K385" s="17"/>
      <c r="L385" s="17"/>
      <c r="M385" s="17"/>
      <c r="N385" s="22" t="b">
        <f t="shared" si="19"/>
        <v>0</v>
      </c>
    </row>
    <row r="386" spans="2:14" x14ac:dyDescent="0.25">
      <c r="B386" s="46">
        <v>400.11</v>
      </c>
      <c r="C386" s="46">
        <v>398.99</v>
      </c>
      <c r="D386" s="46">
        <v>1.1200000000000001</v>
      </c>
      <c r="E386" s="46">
        <v>0.27</v>
      </c>
      <c r="F386" s="17">
        <v>1.65</v>
      </c>
      <c r="G386" s="45">
        <f t="shared" si="20"/>
        <v>1.1158776139950177</v>
      </c>
      <c r="I386" s="21"/>
      <c r="J386" s="17"/>
      <c r="K386" s="17"/>
      <c r="L386" s="17"/>
      <c r="M386" s="17"/>
      <c r="N386" s="22" t="b">
        <f t="shared" si="19"/>
        <v>0</v>
      </c>
    </row>
    <row r="387" spans="2:14" ht="17.100000000000001" customHeight="1" x14ac:dyDescent="0.25">
      <c r="B387" s="513" t="s">
        <v>62</v>
      </c>
      <c r="C387" s="514"/>
      <c r="D387" s="519" t="s">
        <v>63</v>
      </c>
      <c r="E387" s="520"/>
      <c r="F387" s="43">
        <f>INDEX(LINEST(D378:D386,C378:C386^{1,2,3,4}),5)</f>
        <v>-1.1501780822157137E-2</v>
      </c>
      <c r="G387" s="29" t="s">
        <v>16</v>
      </c>
      <c r="I387" s="502" t="s">
        <v>62</v>
      </c>
      <c r="J387" s="515"/>
      <c r="K387" s="526" t="s">
        <v>63</v>
      </c>
      <c r="L387" s="527"/>
      <c r="M387" s="16">
        <f>INDEX(LINEST(K378:K383,J378:J383^{1,2}),3)</f>
        <v>6.3463254679638426E-2</v>
      </c>
      <c r="N387" s="1" t="s">
        <v>16</v>
      </c>
    </row>
    <row r="388" spans="2:14" ht="17.100000000000001" customHeight="1" x14ac:dyDescent="0.25">
      <c r="B388" s="502"/>
      <c r="C388" s="515"/>
      <c r="D388" s="526" t="s">
        <v>64</v>
      </c>
      <c r="E388" s="527"/>
      <c r="F388" s="16">
        <f>INDEX(LINEST(D378:D386,C378:C386^{1,2,3,4}),4)</f>
        <v>-6.217342802373218E-3</v>
      </c>
      <c r="G388" s="1">
        <v>1</v>
      </c>
      <c r="I388" s="502"/>
      <c r="J388" s="515"/>
      <c r="K388" s="526" t="s">
        <v>64</v>
      </c>
      <c r="L388" s="527"/>
      <c r="M388" s="16">
        <f>INDEX(LINEST(K378:K383,J378:J383^{1,2}),2)</f>
        <v>-1.1127300570790939E-2</v>
      </c>
      <c r="N388" s="1">
        <v>1</v>
      </c>
    </row>
    <row r="389" spans="2:14" ht="17.100000000000001" customHeight="1" x14ac:dyDescent="0.25">
      <c r="B389" s="503"/>
      <c r="C389" s="516"/>
      <c r="D389" s="526" t="s">
        <v>65</v>
      </c>
      <c r="E389" s="527"/>
      <c r="F389" s="16">
        <f>INDEX(LINEST(D378:D386,C378:C386^{1,2,3,4}),3)</f>
        <v>9.3001128645303692E-5</v>
      </c>
      <c r="G389" s="1" t="s">
        <v>66</v>
      </c>
      <c r="I389" s="503"/>
      <c r="J389" s="516"/>
      <c r="K389" s="526" t="s">
        <v>65</v>
      </c>
      <c r="L389" s="527"/>
      <c r="M389" s="16" t="e">
        <f>INDEX(LINEST(K377:K382,J377:J382^{1,2}),1)</f>
        <v>#VALUE!</v>
      </c>
      <c r="N389" s="1" t="s">
        <v>66</v>
      </c>
    </row>
    <row r="390" spans="2:14" ht="17.100000000000001" customHeight="1" x14ac:dyDescent="0.25">
      <c r="B390" s="503"/>
      <c r="C390" s="516"/>
      <c r="D390" s="526" t="s">
        <v>193</v>
      </c>
      <c r="E390" s="527"/>
      <c r="F390" s="16">
        <f>INDEX(LINEST(D378:D386,C378:C386^{1,2,3,4}),2)</f>
        <v>-4.9042478968796527E-7</v>
      </c>
      <c r="G390" s="1" t="s">
        <v>66</v>
      </c>
      <c r="I390" s="503"/>
      <c r="J390" s="516"/>
      <c r="K390" s="526" t="s">
        <v>65</v>
      </c>
      <c r="L390" s="527"/>
      <c r="M390" s="16" t="e">
        <f>INDEX(LINEST(K377:K382,J377:J382^{1,2}),1)</f>
        <v>#VALUE!</v>
      </c>
      <c r="N390" s="1" t="s">
        <v>66</v>
      </c>
    </row>
    <row r="391" spans="2:14" ht="17.100000000000001" customHeight="1" x14ac:dyDescent="0.25">
      <c r="B391" s="503"/>
      <c r="C391" s="516"/>
      <c r="D391" s="526" t="s">
        <v>411</v>
      </c>
      <c r="E391" s="527"/>
      <c r="F391" s="16">
        <f>INDEX(LINEST(D378:D386,C378:C386^{1,2,3,4}),1)</f>
        <v>7.873335200287629E-10</v>
      </c>
      <c r="G391" s="1" t="s">
        <v>66</v>
      </c>
      <c r="I391" s="503"/>
      <c r="J391" s="516"/>
      <c r="K391" s="526" t="s">
        <v>65</v>
      </c>
      <c r="L391" s="527"/>
      <c r="M391" s="16">
        <f>INDEX(LINEST(K378:K383,J378:J383^{1,2}),1)</f>
        <v>2.5893927624807226E-5</v>
      </c>
      <c r="N391" s="1" t="s">
        <v>66</v>
      </c>
    </row>
    <row r="392" spans="2:14" ht="17.100000000000001" customHeight="1" x14ac:dyDescent="0.25">
      <c r="B392" s="503"/>
      <c r="C392" s="516"/>
      <c r="D392" s="528" t="s">
        <v>71</v>
      </c>
      <c r="E392" s="529"/>
      <c r="F392" s="5">
        <f>RSQ(D378:D386,C378:C386)</f>
        <v>0.16279371249767249</v>
      </c>
      <c r="G392" s="1" t="s">
        <v>72</v>
      </c>
      <c r="I392" s="503"/>
      <c r="J392" s="516"/>
      <c r="K392" s="528" t="s">
        <v>71</v>
      </c>
      <c r="L392" s="529"/>
      <c r="M392" s="5">
        <f>RSQ(K378:K386,J378:J386)</f>
        <v>0.23786361383259574</v>
      </c>
      <c r="N392" s="1" t="s">
        <v>72</v>
      </c>
    </row>
    <row r="393" spans="2:14" ht="17.100000000000001" customHeight="1" x14ac:dyDescent="0.25">
      <c r="B393" s="517"/>
      <c r="C393" s="518"/>
      <c r="D393" s="530" t="s">
        <v>81</v>
      </c>
      <c r="E393" s="531"/>
      <c r="F393" s="5">
        <f t="array" ref="F393">SQRT(SUMSQ(D378:D386-G378:G386)/(COUNT(D378:D386)-COUNT(F387:F391)))</f>
        <v>5.2166408207592545E-2</v>
      </c>
      <c r="G393" s="1" t="s">
        <v>16</v>
      </c>
      <c r="I393" s="517"/>
      <c r="J393" s="518"/>
      <c r="K393" s="530" t="s">
        <v>81</v>
      </c>
      <c r="L393" s="531"/>
      <c r="M393" s="5">
        <f t="array" ref="M393">SQRT(SUMSQ(K378:K386-N378:N386)/(COUNT(K378:K386)-3))</f>
        <v>0.1457289038286603</v>
      </c>
      <c r="N393" s="1" t="s">
        <v>16</v>
      </c>
    </row>
    <row r="395" spans="2:14" ht="14.45" customHeight="1" x14ac:dyDescent="0.25">
      <c r="B395" s="501" t="s">
        <v>78</v>
      </c>
      <c r="C395" s="504" t="s">
        <v>79</v>
      </c>
      <c r="D395" s="505"/>
      <c r="E395" s="505"/>
      <c r="F395" s="505"/>
      <c r="G395" s="506"/>
    </row>
    <row r="396" spans="2:14" x14ac:dyDescent="0.25">
      <c r="B396" s="502"/>
      <c r="C396" s="507"/>
      <c r="D396" s="508"/>
      <c r="E396" s="508"/>
      <c r="F396" s="508"/>
      <c r="G396" s="509"/>
    </row>
    <row r="397" spans="2:14" x14ac:dyDescent="0.25">
      <c r="B397" s="502"/>
      <c r="C397" s="510"/>
      <c r="D397" s="511"/>
      <c r="E397" s="511"/>
      <c r="F397" s="511"/>
      <c r="G397" s="512"/>
    </row>
    <row r="398" spans="2:14" ht="14.45" customHeight="1" x14ac:dyDescent="0.25">
      <c r="B398" s="502"/>
      <c r="C398" s="497" t="s">
        <v>67</v>
      </c>
      <c r="D398" s="497" t="s">
        <v>69</v>
      </c>
      <c r="E398" s="497" t="s">
        <v>77</v>
      </c>
      <c r="F398" s="497" t="s">
        <v>70</v>
      </c>
      <c r="G398" s="499" t="s">
        <v>58</v>
      </c>
    </row>
    <row r="399" spans="2:14" x14ac:dyDescent="0.25">
      <c r="B399" s="502"/>
      <c r="C399" s="498"/>
      <c r="D399" s="498"/>
      <c r="E399" s="498"/>
      <c r="F399" s="498"/>
      <c r="G399" s="500"/>
    </row>
    <row r="400" spans="2:14" x14ac:dyDescent="0.25">
      <c r="B400" s="503"/>
      <c r="C400" s="498"/>
      <c r="D400" s="498"/>
      <c r="E400" s="498"/>
      <c r="F400" s="498"/>
      <c r="G400" s="500"/>
    </row>
    <row r="401" spans="1:15" ht="14.45" customHeight="1" x14ac:dyDescent="0.25">
      <c r="B401" s="41" t="s">
        <v>210</v>
      </c>
      <c r="C401" s="1">
        <f>'Información general'!D55</f>
        <v>0</v>
      </c>
      <c r="D401" s="5">
        <f>F387+F388*C401+F389*C401*C401+F390*C401*C401*C401+F391*C401*C401*C401*C401</f>
        <v>-1.1501780822157137E-2</v>
      </c>
      <c r="E401" s="5">
        <f>IFERROR(ABS(D401-(M387+M388*C401+M391*C401*C401)),0.1+0.05%*C401)</f>
        <v>7.4965035501795563E-2</v>
      </c>
      <c r="F401" s="1">
        <f>IF(AND(C378&lt;=C401,C401&lt;=C379),MAX(E378:E379),IF(AND(C379&lt;=C401,C401&lt;=C380),MAX(E379:E380),IF(AND(C380&lt;=C401,C401&lt;=C381),MAX(E380:E381),IF(AND(C381&lt;=C401,C401&lt;=C382),MAX(E381:E382),IF(AND(C382&lt;=C401,C401&lt;=C383),MAX(E382:E383),IF(AND(C383&lt;=C401,C401&lt;=C384),MAX(E383:E384),IF(AND(C384&lt;=C401,C401&lt;=C385),MAX(E384:E385),IF(AND(C385&lt;=C401,C401&lt;=C386),MAX(E385:E386)))))))))</f>
        <v>0.24</v>
      </c>
      <c r="G401" s="1" t="e">
        <f>VLOOKUP(F401,$E$205:$F$213,2)</f>
        <v>#N/A</v>
      </c>
    </row>
    <row r="403" spans="1:15" ht="24.95" customHeight="1" x14ac:dyDescent="0.25">
      <c r="A403" s="536" t="s">
        <v>106</v>
      </c>
      <c r="B403" s="536"/>
      <c r="C403" s="536"/>
      <c r="D403" s="536"/>
      <c r="E403" s="536"/>
      <c r="F403" s="536"/>
      <c r="G403" s="536"/>
      <c r="H403" s="536"/>
      <c r="I403" s="536"/>
      <c r="J403" s="536"/>
      <c r="K403" s="536"/>
      <c r="L403" s="536"/>
      <c r="M403" s="536"/>
      <c r="N403" s="536"/>
      <c r="O403" s="536"/>
    </row>
    <row r="405" spans="1:15" x14ac:dyDescent="0.25">
      <c r="B405" s="537" t="s">
        <v>85</v>
      </c>
      <c r="C405" s="505"/>
      <c r="D405" s="505"/>
      <c r="E405" s="505"/>
      <c r="F405" s="505"/>
      <c r="G405" s="506"/>
      <c r="I405" s="537" t="s">
        <v>90</v>
      </c>
      <c r="J405" s="505"/>
      <c r="K405" s="505"/>
      <c r="L405" s="505"/>
      <c r="M405" s="505"/>
      <c r="N405" s="506"/>
    </row>
    <row r="406" spans="1:15" x14ac:dyDescent="0.25">
      <c r="B406" s="538"/>
      <c r="C406" s="508"/>
      <c r="D406" s="508"/>
      <c r="E406" s="508"/>
      <c r="F406" s="508"/>
      <c r="G406" s="509"/>
      <c r="I406" s="538"/>
      <c r="J406" s="508"/>
      <c r="K406" s="508"/>
      <c r="L406" s="508"/>
      <c r="M406" s="508"/>
      <c r="N406" s="509"/>
    </row>
    <row r="407" spans="1:15" x14ac:dyDescent="0.25">
      <c r="B407" s="538"/>
      <c r="C407" s="508"/>
      <c r="D407" s="508"/>
      <c r="E407" s="508"/>
      <c r="F407" s="508"/>
      <c r="G407" s="509"/>
      <c r="I407" s="538"/>
      <c r="J407" s="508"/>
      <c r="K407" s="508"/>
      <c r="L407" s="508"/>
      <c r="M407" s="508"/>
      <c r="N407" s="509"/>
    </row>
    <row r="408" spans="1:15" x14ac:dyDescent="0.25">
      <c r="B408" s="485" t="s">
        <v>26</v>
      </c>
      <c r="C408" s="485"/>
      <c r="D408" s="486"/>
      <c r="E408" s="479">
        <f>'Equipamiento y listas'!K14</f>
        <v>45253</v>
      </c>
      <c r="F408" s="480"/>
      <c r="G408" s="480"/>
      <c r="I408" s="485" t="s">
        <v>26</v>
      </c>
      <c r="J408" s="485"/>
      <c r="K408" s="486"/>
      <c r="L408" s="479">
        <f>'Equipamiento y listas'!K18</f>
        <v>45253</v>
      </c>
      <c r="M408" s="480"/>
      <c r="N408" s="480"/>
    </row>
    <row r="409" spans="1:15" x14ac:dyDescent="0.25">
      <c r="B409" s="487"/>
      <c r="C409" s="487"/>
      <c r="D409" s="488"/>
      <c r="E409" s="481"/>
      <c r="F409" s="482"/>
      <c r="G409" s="482"/>
      <c r="I409" s="487"/>
      <c r="J409" s="487"/>
      <c r="K409" s="488"/>
      <c r="L409" s="481"/>
      <c r="M409" s="482"/>
      <c r="N409" s="482"/>
    </row>
    <row r="410" spans="1:15" x14ac:dyDescent="0.25">
      <c r="B410" s="489"/>
      <c r="C410" s="489"/>
      <c r="D410" s="490"/>
      <c r="E410" s="483"/>
      <c r="F410" s="484"/>
      <c r="G410" s="484"/>
      <c r="I410" s="489"/>
      <c r="J410" s="489"/>
      <c r="K410" s="490"/>
      <c r="L410" s="483"/>
      <c r="M410" s="484"/>
      <c r="N410" s="484"/>
    </row>
    <row r="411" spans="1:15" ht="14.45" customHeight="1" x14ac:dyDescent="0.25">
      <c r="B411" s="524" t="s">
        <v>68</v>
      </c>
      <c r="C411" s="497" t="s">
        <v>67</v>
      </c>
      <c r="D411" s="497" t="s">
        <v>69</v>
      </c>
      <c r="E411" s="497" t="s">
        <v>70</v>
      </c>
      <c r="F411" s="499" t="s">
        <v>58</v>
      </c>
      <c r="G411" s="497" t="s">
        <v>80</v>
      </c>
      <c r="I411" s="524" t="s">
        <v>91</v>
      </c>
      <c r="J411" s="497" t="s">
        <v>92</v>
      </c>
      <c r="K411" s="497" t="s">
        <v>93</v>
      </c>
      <c r="L411" s="497" t="s">
        <v>94</v>
      </c>
      <c r="M411" s="499" t="s">
        <v>58</v>
      </c>
      <c r="N411" s="497" t="s">
        <v>95</v>
      </c>
    </row>
    <row r="412" spans="1:15" x14ac:dyDescent="0.25">
      <c r="B412" s="525"/>
      <c r="C412" s="498"/>
      <c r="D412" s="498"/>
      <c r="E412" s="498"/>
      <c r="F412" s="500"/>
      <c r="G412" s="498"/>
      <c r="I412" s="525"/>
      <c r="J412" s="498"/>
      <c r="K412" s="498"/>
      <c r="L412" s="498"/>
      <c r="M412" s="500"/>
      <c r="N412" s="498"/>
    </row>
    <row r="413" spans="1:15" x14ac:dyDescent="0.25">
      <c r="B413" s="525"/>
      <c r="C413" s="498"/>
      <c r="D413" s="498"/>
      <c r="E413" s="498"/>
      <c r="F413" s="500"/>
      <c r="G413" s="498"/>
      <c r="I413" s="525"/>
      <c r="J413" s="498"/>
      <c r="K413" s="498"/>
      <c r="L413" s="498"/>
      <c r="M413" s="500"/>
      <c r="N413" s="498"/>
    </row>
    <row r="414" spans="1:15" x14ac:dyDescent="0.25">
      <c r="B414" s="17">
        <v>15.161</v>
      </c>
      <c r="C414" s="17">
        <v>15.3</v>
      </c>
      <c r="D414" s="17">
        <v>-0.14000000000000001</v>
      </c>
      <c r="E414" s="17">
        <v>0.31</v>
      </c>
      <c r="F414" s="17">
        <v>2</v>
      </c>
      <c r="G414" s="18">
        <f>IF(C414&lt;&gt;0,$F$418+$F$419*C414)</f>
        <v>-2.8580885395118161E-2</v>
      </c>
      <c r="I414" s="17">
        <v>30.03</v>
      </c>
      <c r="J414" s="17">
        <v>39.799999999999997</v>
      </c>
      <c r="K414" s="17">
        <v>-9.8000000000000007</v>
      </c>
      <c r="L414" s="17">
        <v>1.6</v>
      </c>
      <c r="M414" s="17">
        <v>2</v>
      </c>
      <c r="N414" s="18">
        <f>IF(J414&lt;&gt;0,$M$418+$M$419*J414)</f>
        <v>-10.104124889687514</v>
      </c>
    </row>
    <row r="415" spans="1:15" x14ac:dyDescent="0.25">
      <c r="B415" s="17">
        <v>25.527000000000001</v>
      </c>
      <c r="C415" s="17">
        <v>24.9</v>
      </c>
      <c r="D415" s="17">
        <v>0.63</v>
      </c>
      <c r="E415" s="17">
        <v>0.33</v>
      </c>
      <c r="F415" s="17">
        <v>2</v>
      </c>
      <c r="G415" s="18">
        <f>IF(C415&lt;&gt;0,$F$418+$F$419*C415)</f>
        <v>0.4926272238311955</v>
      </c>
      <c r="I415" s="17">
        <v>50.012999999999998</v>
      </c>
      <c r="J415" s="17">
        <v>58.3</v>
      </c>
      <c r="K415" s="17">
        <v>-8.3000000000000007</v>
      </c>
      <c r="L415" s="17">
        <v>1.6</v>
      </c>
      <c r="M415" s="17">
        <v>2</v>
      </c>
      <c r="N415" s="18">
        <f>IF(J415&lt;&gt;0,$M$418+$M$419*J415)</f>
        <v>-7.6629573316604853</v>
      </c>
    </row>
    <row r="416" spans="1:15" x14ac:dyDescent="0.25">
      <c r="B416" s="17">
        <v>30.527000000000001</v>
      </c>
      <c r="C416" s="17">
        <v>29.7</v>
      </c>
      <c r="D416" s="17">
        <v>0.83</v>
      </c>
      <c r="E416" s="17">
        <v>0.33</v>
      </c>
      <c r="F416" s="17">
        <v>2</v>
      </c>
      <c r="G416" s="18">
        <f>IF(C416&lt;&gt;0,$F$418+$F$419*C416)</f>
        <v>0.75323127844435223</v>
      </c>
      <c r="I416" s="17">
        <v>70.075999999999993</v>
      </c>
      <c r="J416" s="17">
        <v>75.2</v>
      </c>
      <c r="K416" s="17">
        <v>-5.0999999999999996</v>
      </c>
      <c r="L416" s="17">
        <v>1.6</v>
      </c>
      <c r="M416" s="17">
        <v>2</v>
      </c>
      <c r="N416" s="18">
        <f>IF(J416&lt;&gt;0,$M$418+$M$419*J416)</f>
        <v>-5.4329177786520102</v>
      </c>
    </row>
    <row r="417" spans="2:14" x14ac:dyDescent="0.25">
      <c r="B417" s="17">
        <v>40.046999999999997</v>
      </c>
      <c r="C417" s="17">
        <v>38.9</v>
      </c>
      <c r="D417" s="17">
        <v>1.1499999999999999</v>
      </c>
      <c r="E417" s="17">
        <v>0.33</v>
      </c>
      <c r="F417" s="17">
        <v>2</v>
      </c>
      <c r="G417" s="18">
        <f>IF(C417&lt;&gt;0,$F$418+$F$419*C417)</f>
        <v>1.2527223831195697</v>
      </c>
      <c r="I417" s="17"/>
      <c r="J417" s="17"/>
      <c r="K417" s="17"/>
      <c r="L417" s="17"/>
      <c r="M417" s="17"/>
      <c r="N417" s="18" t="b">
        <f>IF(J417&lt;&gt;0,$M$418+$M$419*J417)</f>
        <v>0</v>
      </c>
    </row>
    <row r="418" spans="2:14" x14ac:dyDescent="0.25">
      <c r="B418" s="502" t="s">
        <v>62</v>
      </c>
      <c r="C418" s="515"/>
      <c r="D418" s="526" t="s">
        <v>63</v>
      </c>
      <c r="E418" s="527"/>
      <c r="F418" s="16">
        <f>INDEX(LINEST(D414:D417,C414:C417^{1}),2)</f>
        <v>-0.85925630947455556</v>
      </c>
      <c r="G418" s="1" t="s">
        <v>16</v>
      </c>
      <c r="I418" s="502" t="s">
        <v>62</v>
      </c>
      <c r="J418" s="515"/>
      <c r="K418" s="526" t="s">
        <v>63</v>
      </c>
      <c r="L418" s="527"/>
      <c r="M418" s="16">
        <f>INDEX(LINEST(K414:K416,J414:J416^{1}),2)</f>
        <v>-15.355934014524038</v>
      </c>
      <c r="N418" s="1" t="s">
        <v>48</v>
      </c>
    </row>
    <row r="419" spans="2:14" x14ac:dyDescent="0.25">
      <c r="B419" s="502"/>
      <c r="C419" s="515"/>
      <c r="D419" s="526" t="s">
        <v>64</v>
      </c>
      <c r="E419" s="527"/>
      <c r="F419" s="16">
        <f>INDEX(LINEST(D414:D417,C414:C417^{1}),1)</f>
        <v>5.4292511377741007E-2</v>
      </c>
      <c r="G419" s="1">
        <v>1</v>
      </c>
      <c r="I419" s="502"/>
      <c r="J419" s="515"/>
      <c r="K419" s="526" t="s">
        <v>64</v>
      </c>
      <c r="L419" s="527"/>
      <c r="M419" s="16">
        <f>INDEX(LINEST(K414:K416,J414:J416^{1}),1)</f>
        <v>0.13195500313659611</v>
      </c>
      <c r="N419" s="1">
        <v>1</v>
      </c>
    </row>
    <row r="420" spans="2:14" ht="17.25" x14ac:dyDescent="0.25">
      <c r="B420" s="503"/>
      <c r="C420" s="516"/>
      <c r="D420" s="528" t="s">
        <v>71</v>
      </c>
      <c r="E420" s="529"/>
      <c r="F420" s="5">
        <f>RSQ(D414:D417,C414:C417)</f>
        <v>0.94712291429948492</v>
      </c>
      <c r="G420" s="1" t="s">
        <v>72</v>
      </c>
      <c r="I420" s="503"/>
      <c r="J420" s="516"/>
      <c r="K420" s="528" t="s">
        <v>71</v>
      </c>
      <c r="L420" s="529"/>
      <c r="M420" s="5">
        <f>RSQ(K414:K417,J414:J417)</f>
        <v>0.94715301701950594</v>
      </c>
      <c r="N420" s="1" t="s">
        <v>72</v>
      </c>
    </row>
    <row r="421" spans="2:14" x14ac:dyDescent="0.25">
      <c r="B421" s="517"/>
      <c r="C421" s="518"/>
      <c r="D421" s="530" t="s">
        <v>81</v>
      </c>
      <c r="E421" s="531"/>
      <c r="F421" s="5">
        <f t="array" ref="F421">SQRT(SUMSQ(D414:D417-G414:G417)/(COUNT(D414:D417)-2))</f>
        <v>0.1544843411720303</v>
      </c>
      <c r="G421" s="1" t="s">
        <v>16</v>
      </c>
      <c r="I421" s="517"/>
      <c r="J421" s="518"/>
      <c r="K421" s="530" t="s">
        <v>81</v>
      </c>
      <c r="L421" s="531"/>
      <c r="M421" s="5">
        <f t="array" ref="M421">SQRT(SUMSQ(K414:K417-N414:N417)/(COUNT(K414:K417)-2))</f>
        <v>0.78048033745582646</v>
      </c>
      <c r="N421" s="1" t="s">
        <v>48</v>
      </c>
    </row>
    <row r="423" spans="2:14" ht="14.45" customHeight="1" x14ac:dyDescent="0.25">
      <c r="B423" s="532" t="s">
        <v>87</v>
      </c>
      <c r="C423" s="514"/>
      <c r="D423" s="514"/>
      <c r="E423" s="514"/>
      <c r="F423" s="514"/>
      <c r="G423" s="533"/>
      <c r="I423" s="532" t="s">
        <v>116</v>
      </c>
      <c r="J423" s="514"/>
      <c r="K423" s="514"/>
      <c r="L423" s="514"/>
      <c r="M423" s="514"/>
      <c r="N423" s="533"/>
    </row>
    <row r="424" spans="2:14" x14ac:dyDescent="0.25">
      <c r="B424" s="534"/>
      <c r="C424" s="515"/>
      <c r="D424" s="515"/>
      <c r="E424" s="515"/>
      <c r="F424" s="515"/>
      <c r="G424" s="535"/>
      <c r="I424" s="534"/>
      <c r="J424" s="515"/>
      <c r="K424" s="515"/>
      <c r="L424" s="515"/>
      <c r="M424" s="515"/>
      <c r="N424" s="535"/>
    </row>
    <row r="425" spans="2:14" x14ac:dyDescent="0.25">
      <c r="B425" s="534"/>
      <c r="C425" s="515"/>
      <c r="D425" s="515"/>
      <c r="E425" s="515"/>
      <c r="F425" s="515"/>
      <c r="G425" s="535"/>
      <c r="I425" s="534"/>
      <c r="J425" s="515"/>
      <c r="K425" s="515"/>
      <c r="L425" s="515"/>
      <c r="M425" s="515"/>
      <c r="N425" s="535"/>
    </row>
    <row r="426" spans="2:14" ht="14.45" customHeight="1" x14ac:dyDescent="0.25">
      <c r="B426" s="534" t="s">
        <v>86</v>
      </c>
      <c r="C426" s="515"/>
      <c r="D426" s="515"/>
      <c r="E426" s="515" t="s">
        <v>75</v>
      </c>
      <c r="F426" s="515" t="s">
        <v>69</v>
      </c>
      <c r="G426" s="535" t="s">
        <v>84</v>
      </c>
      <c r="I426" s="534" t="s">
        <v>86</v>
      </c>
      <c r="J426" s="515"/>
      <c r="K426" s="515"/>
      <c r="L426" s="515" t="s">
        <v>96</v>
      </c>
      <c r="M426" s="515" t="s">
        <v>93</v>
      </c>
      <c r="N426" s="535" t="s">
        <v>117</v>
      </c>
    </row>
    <row r="427" spans="2:14" x14ac:dyDescent="0.25">
      <c r="B427" s="534"/>
      <c r="C427" s="515"/>
      <c r="D427" s="515"/>
      <c r="E427" s="515"/>
      <c r="F427" s="515"/>
      <c r="G427" s="535"/>
      <c r="I427" s="534"/>
      <c r="J427" s="515"/>
      <c r="K427" s="515"/>
      <c r="L427" s="515"/>
      <c r="M427" s="515"/>
      <c r="N427" s="535"/>
    </row>
    <row r="428" spans="2:14" x14ac:dyDescent="0.25">
      <c r="B428" s="534"/>
      <c r="C428" s="515"/>
      <c r="D428" s="515"/>
      <c r="E428" s="518"/>
      <c r="F428" s="518"/>
      <c r="G428" s="522"/>
      <c r="I428" s="534"/>
      <c r="J428" s="515"/>
      <c r="K428" s="515"/>
      <c r="L428" s="518"/>
      <c r="M428" s="518"/>
      <c r="N428" s="522"/>
    </row>
    <row r="429" spans="2:14" x14ac:dyDescent="0.25">
      <c r="B429" s="570" t="s">
        <v>89</v>
      </c>
      <c r="C429" s="570"/>
      <c r="D429" s="571"/>
      <c r="E429" s="23">
        <f>'Toma de datos'!E38</f>
        <v>0</v>
      </c>
      <c r="F429" s="5">
        <f>$F$418+$F$419*E429</f>
        <v>-0.85925630947455556</v>
      </c>
      <c r="G429" s="5">
        <f>E429+F429</f>
        <v>-0.85925630947455556</v>
      </c>
      <c r="I429" s="570" t="s">
        <v>107</v>
      </c>
      <c r="J429" s="570"/>
      <c r="K429" s="571"/>
      <c r="L429" s="23">
        <f>'Toma de datos'!K38</f>
        <v>0</v>
      </c>
      <c r="M429" s="5">
        <f>$M$418+$M$419*L429</f>
        <v>-15.355934014524038</v>
      </c>
      <c r="N429" s="5">
        <f>L429+M429</f>
        <v>-15.355934014524038</v>
      </c>
    </row>
    <row r="430" spans="2:14" x14ac:dyDescent="0.25">
      <c r="B430" s="572" t="s">
        <v>88</v>
      </c>
      <c r="C430" s="572"/>
      <c r="D430" s="573"/>
      <c r="E430" s="23">
        <f>'Toma de datos'!E60</f>
        <v>0</v>
      </c>
      <c r="F430" s="5">
        <f>$F$418+$F$419*E430</f>
        <v>-0.85925630947455556</v>
      </c>
      <c r="G430" s="5">
        <f>E430+F430</f>
        <v>-0.85925630947455556</v>
      </c>
      <c r="I430" s="572" t="s">
        <v>108</v>
      </c>
      <c r="J430" s="572"/>
      <c r="K430" s="573"/>
      <c r="L430" s="23">
        <f>'Toma de datos'!K60</f>
        <v>0</v>
      </c>
      <c r="M430" s="5">
        <f>$M$418+$M$419*L430</f>
        <v>-15.355934014524038</v>
      </c>
      <c r="N430" s="5">
        <f>L430+M430</f>
        <v>-15.355934014524038</v>
      </c>
    </row>
    <row r="449" spans="1:15" ht="24.95" customHeight="1" x14ac:dyDescent="0.25">
      <c r="A449" s="536" t="s">
        <v>418</v>
      </c>
      <c r="B449" s="536"/>
      <c r="C449" s="536"/>
      <c r="D449" s="536"/>
      <c r="E449" s="536"/>
      <c r="F449" s="536"/>
      <c r="G449" s="536"/>
      <c r="H449" s="536"/>
      <c r="I449" s="536"/>
      <c r="J449" s="536"/>
      <c r="K449" s="536"/>
      <c r="L449" s="536"/>
      <c r="M449" s="536"/>
      <c r="N449" s="536"/>
      <c r="O449" s="536"/>
    </row>
    <row r="451" spans="1:15" x14ac:dyDescent="0.25">
      <c r="B451" s="501" t="s">
        <v>85</v>
      </c>
      <c r="C451" s="540"/>
      <c r="D451" s="540"/>
      <c r="E451" s="540"/>
      <c r="F451" s="540"/>
      <c r="G451" s="541"/>
      <c r="I451" s="501" t="s">
        <v>90</v>
      </c>
      <c r="J451" s="540"/>
      <c r="K451" s="540"/>
      <c r="L451" s="540"/>
      <c r="M451" s="540"/>
      <c r="N451" s="541"/>
    </row>
    <row r="452" spans="1:15" x14ac:dyDescent="0.25">
      <c r="B452" s="502"/>
      <c r="C452" s="515"/>
      <c r="D452" s="515"/>
      <c r="E452" s="515"/>
      <c r="F452" s="515"/>
      <c r="G452" s="535"/>
      <c r="I452" s="502"/>
      <c r="J452" s="515"/>
      <c r="K452" s="515"/>
      <c r="L452" s="515"/>
      <c r="M452" s="515"/>
      <c r="N452" s="535"/>
    </row>
    <row r="453" spans="1:15" x14ac:dyDescent="0.25">
      <c r="B453" s="502"/>
      <c r="C453" s="515"/>
      <c r="D453" s="515"/>
      <c r="E453" s="515"/>
      <c r="F453" s="515"/>
      <c r="G453" s="535"/>
      <c r="I453" s="502"/>
      <c r="J453" s="515"/>
      <c r="K453" s="515"/>
      <c r="L453" s="515"/>
      <c r="M453" s="515"/>
      <c r="N453" s="535"/>
    </row>
    <row r="454" spans="1:15" x14ac:dyDescent="0.25">
      <c r="B454" s="502" t="s">
        <v>26</v>
      </c>
      <c r="C454" s="515"/>
      <c r="D454" s="515"/>
      <c r="E454" s="574">
        <f>'Equipamiento y listas'!K15</f>
        <v>45404</v>
      </c>
      <c r="F454" s="574"/>
      <c r="G454" s="575"/>
      <c r="I454" s="502" t="s">
        <v>26</v>
      </c>
      <c r="J454" s="515"/>
      <c r="K454" s="515"/>
      <c r="L454" s="574">
        <f>'Equipamiento y listas'!K19</f>
        <v>45404</v>
      </c>
      <c r="M454" s="574"/>
      <c r="N454" s="575"/>
    </row>
    <row r="455" spans="1:15" x14ac:dyDescent="0.25">
      <c r="B455" s="502"/>
      <c r="C455" s="515"/>
      <c r="D455" s="515"/>
      <c r="E455" s="574"/>
      <c r="F455" s="574"/>
      <c r="G455" s="575"/>
      <c r="I455" s="502"/>
      <c r="J455" s="515"/>
      <c r="K455" s="515"/>
      <c r="L455" s="574"/>
      <c r="M455" s="574"/>
      <c r="N455" s="575"/>
    </row>
    <row r="456" spans="1:15" x14ac:dyDescent="0.25">
      <c r="B456" s="502"/>
      <c r="C456" s="515"/>
      <c r="D456" s="515"/>
      <c r="E456" s="574"/>
      <c r="F456" s="574"/>
      <c r="G456" s="575"/>
      <c r="I456" s="502"/>
      <c r="J456" s="515"/>
      <c r="K456" s="515"/>
      <c r="L456" s="574"/>
      <c r="M456" s="574"/>
      <c r="N456" s="575"/>
    </row>
    <row r="457" spans="1:15" ht="14.45" customHeight="1" x14ac:dyDescent="0.25">
      <c r="B457" s="502" t="s">
        <v>68</v>
      </c>
      <c r="C457" s="515" t="s">
        <v>67</v>
      </c>
      <c r="D457" s="515" t="s">
        <v>69</v>
      </c>
      <c r="E457" s="515" t="s">
        <v>70</v>
      </c>
      <c r="F457" s="515" t="s">
        <v>58</v>
      </c>
      <c r="G457" s="535" t="s">
        <v>80</v>
      </c>
      <c r="I457" s="502" t="s">
        <v>91</v>
      </c>
      <c r="J457" s="515" t="s">
        <v>92</v>
      </c>
      <c r="K457" s="515" t="s">
        <v>93</v>
      </c>
      <c r="L457" s="515" t="s">
        <v>94</v>
      </c>
      <c r="M457" s="515" t="s">
        <v>58</v>
      </c>
      <c r="N457" s="535" t="s">
        <v>95</v>
      </c>
    </row>
    <row r="458" spans="1:15" x14ac:dyDescent="0.25">
      <c r="B458" s="502"/>
      <c r="C458" s="515"/>
      <c r="D458" s="515"/>
      <c r="E458" s="515"/>
      <c r="F458" s="515"/>
      <c r="G458" s="535"/>
      <c r="I458" s="502"/>
      <c r="J458" s="515"/>
      <c r="K458" s="515"/>
      <c r="L458" s="515"/>
      <c r="M458" s="515"/>
      <c r="N458" s="535"/>
    </row>
    <row r="459" spans="1:15" x14ac:dyDescent="0.25">
      <c r="B459" s="502"/>
      <c r="C459" s="515"/>
      <c r="D459" s="515"/>
      <c r="E459" s="515"/>
      <c r="F459" s="515"/>
      <c r="G459" s="535"/>
      <c r="I459" s="502"/>
      <c r="J459" s="515"/>
      <c r="K459" s="515"/>
      <c r="L459" s="515"/>
      <c r="M459" s="515"/>
      <c r="N459" s="535"/>
    </row>
    <row r="460" spans="1:15" x14ac:dyDescent="0.25">
      <c r="B460" s="106">
        <v>15.711</v>
      </c>
      <c r="C460" s="106">
        <v>15</v>
      </c>
      <c r="D460" s="106">
        <v>0.71</v>
      </c>
      <c r="E460" s="106">
        <v>0.28000000000000003</v>
      </c>
      <c r="F460" s="106">
        <v>2</v>
      </c>
      <c r="G460" s="115">
        <f>IF(C460&lt;&gt;0,$F$463+$F$464*C460)</f>
        <v>0.63770054484987126</v>
      </c>
      <c r="I460" s="106">
        <v>20.462</v>
      </c>
      <c r="J460" s="106">
        <v>21</v>
      </c>
      <c r="K460" s="106">
        <v>-0.5</v>
      </c>
      <c r="L460" s="106">
        <v>1.9</v>
      </c>
      <c r="M460" s="106">
        <v>2</v>
      </c>
      <c r="N460" s="115">
        <f>IF(J460&lt;&gt;0,$M$463+$M$464*J460)</f>
        <v>-0.45000000000000062</v>
      </c>
    </row>
    <row r="461" spans="1:15" x14ac:dyDescent="0.25">
      <c r="B461" s="17">
        <v>30.067</v>
      </c>
      <c r="C461" s="17">
        <v>29.3</v>
      </c>
      <c r="D461" s="17">
        <v>0.77</v>
      </c>
      <c r="E461" s="17">
        <v>0.28999999999999998</v>
      </c>
      <c r="F461" s="17">
        <v>2</v>
      </c>
      <c r="G461" s="115">
        <f>IF(C461&lt;&gt;0,$F$463+$F$464*C461)</f>
        <v>0.95346958511215407</v>
      </c>
      <c r="I461" s="17">
        <v>50.414999999999999</v>
      </c>
      <c r="J461" s="17">
        <v>49</v>
      </c>
      <c r="K461" s="17">
        <v>1.4</v>
      </c>
      <c r="L461" s="17">
        <v>2</v>
      </c>
      <c r="M461" s="17">
        <v>2</v>
      </c>
      <c r="N461" s="115">
        <f>IF(J461&lt;&gt;0,$M$463+$M$464*J461)</f>
        <v>1.3</v>
      </c>
    </row>
    <row r="462" spans="1:15" x14ac:dyDescent="0.25">
      <c r="B462" s="17">
        <v>39.865000000000002</v>
      </c>
      <c r="C462" s="17">
        <v>38.6</v>
      </c>
      <c r="D462" s="17">
        <v>1.27</v>
      </c>
      <c r="E462" s="17">
        <v>0.28999999999999998</v>
      </c>
      <c r="F462" s="17">
        <v>2</v>
      </c>
      <c r="G462" s="115">
        <f>IF(C462&lt;&gt;0,$F$463+$F$464*C462)</f>
        <v>1.1588298700379744</v>
      </c>
      <c r="I462" s="17">
        <v>80.043000000000006</v>
      </c>
      <c r="J462" s="17">
        <v>77</v>
      </c>
      <c r="K462" s="17">
        <v>3</v>
      </c>
      <c r="L462" s="17">
        <v>2</v>
      </c>
      <c r="M462" s="17">
        <v>2</v>
      </c>
      <c r="N462" s="115">
        <f>IF(J462&lt;&gt;0,$M$463+$M$464*J462)</f>
        <v>3.05</v>
      </c>
    </row>
    <row r="463" spans="1:15" x14ac:dyDescent="0.25">
      <c r="B463" s="502" t="s">
        <v>62</v>
      </c>
      <c r="C463" s="515"/>
      <c r="D463" s="526" t="s">
        <v>63</v>
      </c>
      <c r="E463" s="526"/>
      <c r="F463" s="116">
        <f>INDEX(LINEST(D460:D462,C460:C462^{1}),2)</f>
        <v>0.30647427884048373</v>
      </c>
      <c r="G463" s="1" t="s">
        <v>16</v>
      </c>
      <c r="I463" s="502" t="s">
        <v>62</v>
      </c>
      <c r="J463" s="515"/>
      <c r="K463" s="526" t="s">
        <v>63</v>
      </c>
      <c r="L463" s="526"/>
      <c r="M463" s="116">
        <f>INDEX(LINEST(K460:K462,J460:J462^{1}),2)</f>
        <v>-1.7625000000000008</v>
      </c>
      <c r="N463" s="1" t="s">
        <v>16</v>
      </c>
    </row>
    <row r="464" spans="1:15" x14ac:dyDescent="0.25">
      <c r="B464" s="502"/>
      <c r="C464" s="515"/>
      <c r="D464" s="526" t="s">
        <v>64</v>
      </c>
      <c r="E464" s="526"/>
      <c r="F464" s="116">
        <f>INDEX(LINEST(D460:D462,C460:C462^{1}),1)</f>
        <v>2.2081751067292502E-2</v>
      </c>
      <c r="G464" s="1">
        <v>1</v>
      </c>
      <c r="I464" s="502"/>
      <c r="J464" s="515"/>
      <c r="K464" s="526" t="s">
        <v>64</v>
      </c>
      <c r="L464" s="526"/>
      <c r="M464" s="116">
        <f>INDEX(LINEST(K460:K462,J460:J462^{1}),1)</f>
        <v>6.2500000000000014E-2</v>
      </c>
      <c r="N464" s="1">
        <v>1</v>
      </c>
    </row>
    <row r="465" spans="2:14" ht="17.25" x14ac:dyDescent="0.25">
      <c r="B465" s="503"/>
      <c r="C465" s="516"/>
      <c r="D465" s="528" t="s">
        <v>71</v>
      </c>
      <c r="E465" s="528"/>
      <c r="F465" s="112">
        <f>RSQ(D460:D462,C460:C462)</f>
        <v>0.72894694461210308</v>
      </c>
      <c r="G465" s="1" t="s">
        <v>72</v>
      </c>
      <c r="I465" s="503"/>
      <c r="J465" s="516"/>
      <c r="K465" s="528" t="s">
        <v>71</v>
      </c>
      <c r="L465" s="528"/>
      <c r="M465" s="112">
        <f>RSQ(K460:K462,J460:J462)</f>
        <v>0.9975570032573291</v>
      </c>
      <c r="N465" s="1" t="s">
        <v>72</v>
      </c>
    </row>
    <row r="466" spans="2:14" x14ac:dyDescent="0.25">
      <c r="B466" s="517"/>
      <c r="C466" s="518"/>
      <c r="D466" s="530" t="s">
        <v>81</v>
      </c>
      <c r="E466" s="530"/>
      <c r="F466" s="112">
        <f t="array" ref="F466">SQRT(SUMSQ(D460:D462-G460:G462)/(COUNT(D460:D462)-2))</f>
        <v>0.2263782181924866</v>
      </c>
      <c r="G466" s="1" t="s">
        <v>16</v>
      </c>
      <c r="I466" s="517"/>
      <c r="J466" s="518"/>
      <c r="K466" s="530" t="s">
        <v>81</v>
      </c>
      <c r="L466" s="530"/>
      <c r="M466" s="112">
        <f t="array" ref="M466">SQRT(SUMSQ(K460:K462-N460:N462)/(COUNT(K460:K462)-2))</f>
        <v>0.12247448713915848</v>
      </c>
      <c r="N466" s="1" t="s">
        <v>16</v>
      </c>
    </row>
    <row r="468" spans="2:14" ht="14.45" customHeight="1" x14ac:dyDescent="0.25">
      <c r="B468" s="501" t="s">
        <v>87</v>
      </c>
      <c r="C468" s="540"/>
      <c r="D468" s="540"/>
      <c r="E468" s="540"/>
      <c r="F468" s="540"/>
      <c r="G468" s="541"/>
      <c r="I468" s="501" t="s">
        <v>116</v>
      </c>
      <c r="J468" s="540"/>
      <c r="K468" s="540"/>
      <c r="L468" s="540"/>
      <c r="M468" s="540"/>
      <c r="N468" s="541"/>
    </row>
    <row r="469" spans="2:14" x14ac:dyDescent="0.25">
      <c r="B469" s="502"/>
      <c r="C469" s="515"/>
      <c r="D469" s="515"/>
      <c r="E469" s="515"/>
      <c r="F469" s="515"/>
      <c r="G469" s="535"/>
      <c r="I469" s="502"/>
      <c r="J469" s="515"/>
      <c r="K469" s="515"/>
      <c r="L469" s="515"/>
      <c r="M469" s="515"/>
      <c r="N469" s="535"/>
    </row>
    <row r="470" spans="2:14" x14ac:dyDescent="0.25">
      <c r="B470" s="502"/>
      <c r="C470" s="515"/>
      <c r="D470" s="515"/>
      <c r="E470" s="515"/>
      <c r="F470" s="515"/>
      <c r="G470" s="535"/>
      <c r="I470" s="502"/>
      <c r="J470" s="515"/>
      <c r="K470" s="515"/>
      <c r="L470" s="515"/>
      <c r="M470" s="515"/>
      <c r="N470" s="535"/>
    </row>
    <row r="471" spans="2:14" ht="14.45" customHeight="1" x14ac:dyDescent="0.25">
      <c r="B471" s="502" t="s">
        <v>86</v>
      </c>
      <c r="C471" s="515"/>
      <c r="D471" s="515"/>
      <c r="E471" s="515" t="s">
        <v>75</v>
      </c>
      <c r="F471" s="515" t="s">
        <v>69</v>
      </c>
      <c r="G471" s="535" t="s">
        <v>84</v>
      </c>
      <c r="I471" s="502" t="s">
        <v>86</v>
      </c>
      <c r="J471" s="515"/>
      <c r="K471" s="515"/>
      <c r="L471" s="515" t="s">
        <v>96</v>
      </c>
      <c r="M471" s="515" t="s">
        <v>93</v>
      </c>
      <c r="N471" s="535" t="s">
        <v>117</v>
      </c>
    </row>
    <row r="472" spans="2:14" x14ac:dyDescent="0.25">
      <c r="B472" s="502"/>
      <c r="C472" s="515"/>
      <c r="D472" s="515"/>
      <c r="E472" s="515"/>
      <c r="F472" s="515"/>
      <c r="G472" s="535"/>
      <c r="I472" s="502"/>
      <c r="J472" s="515"/>
      <c r="K472" s="515"/>
      <c r="L472" s="515"/>
      <c r="M472" s="515"/>
      <c r="N472" s="535"/>
    </row>
    <row r="473" spans="2:14" x14ac:dyDescent="0.25">
      <c r="B473" s="502"/>
      <c r="C473" s="515"/>
      <c r="D473" s="515"/>
      <c r="E473" s="515"/>
      <c r="F473" s="515"/>
      <c r="G473" s="535"/>
      <c r="I473" s="502"/>
      <c r="J473" s="515"/>
      <c r="K473" s="515"/>
      <c r="L473" s="515"/>
      <c r="M473" s="515"/>
      <c r="N473" s="535"/>
    </row>
    <row r="474" spans="2:14" x14ac:dyDescent="0.25">
      <c r="B474" s="578" t="s">
        <v>89</v>
      </c>
      <c r="C474" s="570"/>
      <c r="D474" s="579"/>
      <c r="E474" s="117">
        <f>'Toma de datos'!E38</f>
        <v>0</v>
      </c>
      <c r="F474" s="30">
        <f>$F$463+$F$464*E474</f>
        <v>0.30647427884048373</v>
      </c>
      <c r="G474" s="30">
        <f>E474+F474</f>
        <v>0.30647427884048373</v>
      </c>
      <c r="I474" s="578" t="s">
        <v>107</v>
      </c>
      <c r="J474" s="570"/>
      <c r="K474" s="579"/>
      <c r="L474" s="117">
        <f>'Toma de datos'!K38</f>
        <v>0</v>
      </c>
      <c r="M474" s="30">
        <f>$M$463+$M$464*L474</f>
        <v>-1.7625000000000008</v>
      </c>
      <c r="N474" s="30">
        <f>L474+M474</f>
        <v>-1.7625000000000008</v>
      </c>
    </row>
    <row r="475" spans="2:14" x14ac:dyDescent="0.25">
      <c r="B475" s="580" t="s">
        <v>88</v>
      </c>
      <c r="C475" s="581"/>
      <c r="D475" s="582"/>
      <c r="E475" s="111">
        <f>'Toma de datos'!E60</f>
        <v>0</v>
      </c>
      <c r="F475" s="30">
        <f>$F$463+$F$464*E475</f>
        <v>0.30647427884048373</v>
      </c>
      <c r="G475" s="5">
        <f>E475+F475</f>
        <v>0.30647427884048373</v>
      </c>
      <c r="I475" s="580" t="s">
        <v>108</v>
      </c>
      <c r="J475" s="581"/>
      <c r="K475" s="582"/>
      <c r="L475" s="111">
        <f>'Toma de datos'!K60</f>
        <v>0</v>
      </c>
      <c r="M475" s="30">
        <f>$M$463+$M$464*L475</f>
        <v>-1.7625000000000008</v>
      </c>
      <c r="N475" s="5">
        <f>L475+M475</f>
        <v>-1.7625000000000008</v>
      </c>
    </row>
    <row r="494" spans="1:15" ht="24.95" customHeight="1" x14ac:dyDescent="0.25">
      <c r="A494" s="536" t="s">
        <v>100</v>
      </c>
      <c r="B494" s="536"/>
      <c r="C494" s="536"/>
      <c r="D494" s="536"/>
      <c r="E494" s="536"/>
      <c r="F494" s="536"/>
      <c r="G494" s="536"/>
      <c r="H494" s="536"/>
      <c r="I494" s="536"/>
      <c r="J494" s="536"/>
      <c r="K494" s="536"/>
      <c r="L494" s="536"/>
      <c r="M494" s="536"/>
      <c r="N494" s="536"/>
      <c r="O494" s="536"/>
    </row>
    <row r="496" spans="1:15" x14ac:dyDescent="0.25">
      <c r="B496" s="537" t="s">
        <v>85</v>
      </c>
      <c r="C496" s="505"/>
      <c r="D496" s="505"/>
      <c r="E496" s="505"/>
      <c r="F496" s="505"/>
      <c r="G496" s="506"/>
      <c r="I496" s="537" t="s">
        <v>90</v>
      </c>
      <c r="J496" s="505"/>
      <c r="K496" s="505"/>
      <c r="L496" s="505"/>
      <c r="M496" s="505"/>
      <c r="N496" s="506"/>
    </row>
    <row r="497" spans="2:14" x14ac:dyDescent="0.25">
      <c r="B497" s="538"/>
      <c r="C497" s="508"/>
      <c r="D497" s="508"/>
      <c r="E497" s="508"/>
      <c r="F497" s="508"/>
      <c r="G497" s="509"/>
      <c r="I497" s="538"/>
      <c r="J497" s="508"/>
      <c r="K497" s="508"/>
      <c r="L497" s="508"/>
      <c r="M497" s="508"/>
      <c r="N497" s="509"/>
    </row>
    <row r="498" spans="2:14" x14ac:dyDescent="0.25">
      <c r="B498" s="538"/>
      <c r="C498" s="508"/>
      <c r="D498" s="508"/>
      <c r="E498" s="508"/>
      <c r="F498" s="508"/>
      <c r="G498" s="509"/>
      <c r="I498" s="538"/>
      <c r="J498" s="508"/>
      <c r="K498" s="508"/>
      <c r="L498" s="508"/>
      <c r="M498" s="508"/>
      <c r="N498" s="509"/>
    </row>
    <row r="499" spans="2:14" x14ac:dyDescent="0.25">
      <c r="B499" s="485" t="s">
        <v>26</v>
      </c>
      <c r="C499" s="485"/>
      <c r="D499" s="486"/>
      <c r="E499" s="479">
        <f>'Equipamiento y listas'!K17</f>
        <v>45455</v>
      </c>
      <c r="F499" s="480"/>
      <c r="G499" s="480"/>
      <c r="I499" s="485" t="s">
        <v>26</v>
      </c>
      <c r="J499" s="485"/>
      <c r="K499" s="486"/>
      <c r="L499" s="479">
        <f>'Equipamiento y listas'!K21</f>
        <v>45455</v>
      </c>
      <c r="M499" s="480"/>
      <c r="N499" s="480"/>
    </row>
    <row r="500" spans="2:14" x14ac:dyDescent="0.25">
      <c r="B500" s="487"/>
      <c r="C500" s="487"/>
      <c r="D500" s="488"/>
      <c r="E500" s="481"/>
      <c r="F500" s="482"/>
      <c r="G500" s="482"/>
      <c r="I500" s="487"/>
      <c r="J500" s="487"/>
      <c r="K500" s="488"/>
      <c r="L500" s="481"/>
      <c r="M500" s="482"/>
      <c r="N500" s="482"/>
    </row>
    <row r="501" spans="2:14" x14ac:dyDescent="0.25">
      <c r="B501" s="489"/>
      <c r="C501" s="489"/>
      <c r="D501" s="490"/>
      <c r="E501" s="483"/>
      <c r="F501" s="484"/>
      <c r="G501" s="484"/>
      <c r="I501" s="489"/>
      <c r="J501" s="489"/>
      <c r="K501" s="490"/>
      <c r="L501" s="483"/>
      <c r="M501" s="484"/>
      <c r="N501" s="484"/>
    </row>
    <row r="502" spans="2:14" ht="14.45" customHeight="1" x14ac:dyDescent="0.25">
      <c r="B502" s="524" t="s">
        <v>68</v>
      </c>
      <c r="C502" s="497" t="s">
        <v>67</v>
      </c>
      <c r="D502" s="497" t="s">
        <v>69</v>
      </c>
      <c r="E502" s="497" t="s">
        <v>70</v>
      </c>
      <c r="F502" s="499" t="s">
        <v>58</v>
      </c>
      <c r="G502" s="497" t="s">
        <v>80</v>
      </c>
      <c r="I502" s="524" t="s">
        <v>91</v>
      </c>
      <c r="J502" s="497" t="s">
        <v>92</v>
      </c>
      <c r="K502" s="497" t="s">
        <v>93</v>
      </c>
      <c r="L502" s="497" t="s">
        <v>94</v>
      </c>
      <c r="M502" s="499" t="s">
        <v>58</v>
      </c>
      <c r="N502" s="497" t="s">
        <v>95</v>
      </c>
    </row>
    <row r="503" spans="2:14" x14ac:dyDescent="0.25">
      <c r="B503" s="525"/>
      <c r="C503" s="498"/>
      <c r="D503" s="498"/>
      <c r="E503" s="498"/>
      <c r="F503" s="500"/>
      <c r="G503" s="498"/>
      <c r="I503" s="525"/>
      <c r="J503" s="498"/>
      <c r="K503" s="498"/>
      <c r="L503" s="498"/>
      <c r="M503" s="500"/>
      <c r="N503" s="498"/>
    </row>
    <row r="504" spans="2:14" x14ac:dyDescent="0.25">
      <c r="B504" s="525"/>
      <c r="C504" s="498"/>
      <c r="D504" s="498"/>
      <c r="E504" s="498"/>
      <c r="F504" s="500"/>
      <c r="G504" s="498"/>
      <c r="I504" s="525"/>
      <c r="J504" s="498"/>
      <c r="K504" s="498"/>
      <c r="L504" s="498"/>
      <c r="M504" s="500"/>
      <c r="N504" s="498"/>
    </row>
    <row r="505" spans="2:14" x14ac:dyDescent="0.25">
      <c r="B505" s="106">
        <v>15.916</v>
      </c>
      <c r="C505" s="106">
        <v>15.9</v>
      </c>
      <c r="D505" s="106">
        <v>0.02</v>
      </c>
      <c r="E505" s="106">
        <v>0.52</v>
      </c>
      <c r="F505" s="106">
        <v>2</v>
      </c>
      <c r="G505" s="18">
        <f>IF(C505&lt;&gt;0,$F$508+$F$509*C505)</f>
        <v>-5.616063462975901E-2</v>
      </c>
      <c r="I505" s="106">
        <v>20.759</v>
      </c>
      <c r="J505" s="106">
        <v>25.2</v>
      </c>
      <c r="K505" s="106">
        <v>-4.4000000000000004</v>
      </c>
      <c r="L505" s="106">
        <v>1.6</v>
      </c>
      <c r="M505" s="106">
        <v>2</v>
      </c>
      <c r="N505" s="18">
        <f>IF(J505&lt;&gt;0,$M$508+$M$509*J505)</f>
        <v>-4.8722593330517325</v>
      </c>
    </row>
    <row r="506" spans="2:14" x14ac:dyDescent="0.25">
      <c r="B506" s="17">
        <v>30.382000000000001</v>
      </c>
      <c r="C506" s="17">
        <v>30.3</v>
      </c>
      <c r="D506" s="17">
        <v>0.08</v>
      </c>
      <c r="E506" s="17">
        <v>0.52</v>
      </c>
      <c r="F506" s="17">
        <v>2</v>
      </c>
      <c r="G506" s="18">
        <f>IF(C506&lt;&gt;0,$F$508+$F$509*C506)</f>
        <v>0.27938682998577391</v>
      </c>
      <c r="I506" s="17">
        <v>50.42</v>
      </c>
      <c r="J506" s="17">
        <v>56.5</v>
      </c>
      <c r="K506" s="17">
        <v>-6.1</v>
      </c>
      <c r="L506" s="17">
        <v>1.6</v>
      </c>
      <c r="M506" s="17">
        <v>2</v>
      </c>
      <c r="N506" s="18">
        <f>IF(J506&lt;&gt;0,$M$508+$M$509*J506)</f>
        <v>-5.1072576696060441</v>
      </c>
    </row>
    <row r="507" spans="2:14" x14ac:dyDescent="0.25">
      <c r="B507" s="17">
        <v>39.813000000000002</v>
      </c>
      <c r="C507" s="17">
        <v>39.200000000000003</v>
      </c>
      <c r="D507" s="17">
        <v>0.61</v>
      </c>
      <c r="E507" s="17">
        <v>0.52</v>
      </c>
      <c r="F507" s="17">
        <v>2</v>
      </c>
      <c r="G507" s="18">
        <f>IF(C507&lt;&gt;0,$F$508+$F$509*C507)</f>
        <v>0.48677380464398523</v>
      </c>
      <c r="I507" s="17">
        <v>80.122</v>
      </c>
      <c r="J507" s="17">
        <v>84.9</v>
      </c>
      <c r="K507" s="17">
        <v>-4.8</v>
      </c>
      <c r="L507" s="17">
        <v>1.6</v>
      </c>
      <c r="M507" s="17">
        <v>2</v>
      </c>
      <c r="N507" s="18">
        <f>IF(J507&lt;&gt;0,$M$508+$M$509*J507)</f>
        <v>-5.320482997342225</v>
      </c>
    </row>
    <row r="508" spans="2:14" x14ac:dyDescent="0.25">
      <c r="B508" s="502" t="s">
        <v>62</v>
      </c>
      <c r="C508" s="515"/>
      <c r="D508" s="526" t="s">
        <v>63</v>
      </c>
      <c r="E508" s="527"/>
      <c r="F508" s="16">
        <f>INDEX(LINEST(D505:D507,C505:C507^{1}),2)</f>
        <v>-0.42666096014274324</v>
      </c>
      <c r="G508" s="1" t="s">
        <v>16</v>
      </c>
      <c r="I508" s="502" t="s">
        <v>62</v>
      </c>
      <c r="J508" s="515"/>
      <c r="K508" s="526" t="s">
        <v>63</v>
      </c>
      <c r="L508" s="527"/>
      <c r="M508" s="16">
        <f>INDEX(LINEST(K505:K507,J505:J507^{1}),2)</f>
        <v>-4.6830593943562482</v>
      </c>
      <c r="N508" s="1" t="s">
        <v>48</v>
      </c>
    </row>
    <row r="509" spans="2:14" x14ac:dyDescent="0.25">
      <c r="B509" s="502"/>
      <c r="C509" s="515"/>
      <c r="D509" s="526" t="s">
        <v>64</v>
      </c>
      <c r="E509" s="527"/>
      <c r="F509" s="16">
        <f>INDEX(LINEST(D505:D507,C505:C507^{1}),1)</f>
        <v>2.3301907264967562E-2</v>
      </c>
      <c r="G509" s="1">
        <v>1</v>
      </c>
      <c r="I509" s="502"/>
      <c r="J509" s="515"/>
      <c r="K509" s="526" t="s">
        <v>64</v>
      </c>
      <c r="L509" s="527"/>
      <c r="M509" s="16">
        <f>INDEX(LINEST(K505:K507,J505:J507^{1}),1)</f>
        <v>-7.507934075217635E-3</v>
      </c>
      <c r="N509" s="1">
        <v>1</v>
      </c>
    </row>
    <row r="510" spans="2:14" ht="17.25" x14ac:dyDescent="0.25">
      <c r="B510" s="503"/>
      <c r="C510" s="516"/>
      <c r="D510" s="528" t="s">
        <v>71</v>
      </c>
      <c r="E510" s="529"/>
      <c r="F510" s="5">
        <f>RSQ(D505:D507,C505:C507)</f>
        <v>0.71194951567703635</v>
      </c>
      <c r="G510" s="1" t="s">
        <v>72</v>
      </c>
      <c r="I510" s="503"/>
      <c r="J510" s="516"/>
      <c r="K510" s="528" t="s">
        <v>71</v>
      </c>
      <c r="L510" s="529"/>
      <c r="M510" s="5">
        <f>RSQ(K505:K507,J505:J507)</f>
        <v>6.3627365358964627E-2</v>
      </c>
      <c r="N510" s="1" t="s">
        <v>72</v>
      </c>
    </row>
    <row r="511" spans="2:14" x14ac:dyDescent="0.25">
      <c r="B511" s="517"/>
      <c r="C511" s="518"/>
      <c r="D511" s="530" t="s">
        <v>81</v>
      </c>
      <c r="E511" s="531"/>
      <c r="F511" s="5">
        <f t="array" ref="F511">SQRT(SUMSQ(D505:D507-G505:G507)/(COUNT(D505:D507)-2))</f>
        <v>0.24645536200477006</v>
      </c>
      <c r="G511" s="1" t="s">
        <v>16</v>
      </c>
      <c r="I511" s="517"/>
      <c r="J511" s="518"/>
      <c r="K511" s="530" t="s">
        <v>81</v>
      </c>
      <c r="L511" s="531"/>
      <c r="M511" s="5">
        <f t="array" ref="M511">SQRT(SUMSQ(K505:K507-N505:N507)/(COUNT(K505:K507)-2))</f>
        <v>1.2163341492915651</v>
      </c>
      <c r="N511" s="1" t="s">
        <v>48</v>
      </c>
    </row>
    <row r="513" spans="2:14" ht="14.45" customHeight="1" x14ac:dyDescent="0.25">
      <c r="B513" s="532" t="s">
        <v>87</v>
      </c>
      <c r="C513" s="514"/>
      <c r="D513" s="514"/>
      <c r="E513" s="514"/>
      <c r="F513" s="514"/>
      <c r="G513" s="533"/>
      <c r="I513" s="532" t="s">
        <v>116</v>
      </c>
      <c r="J513" s="514"/>
      <c r="K513" s="514"/>
      <c r="L513" s="514"/>
      <c r="M513" s="514"/>
      <c r="N513" s="533"/>
    </row>
    <row r="514" spans="2:14" x14ac:dyDescent="0.25">
      <c r="B514" s="534"/>
      <c r="C514" s="515"/>
      <c r="D514" s="515"/>
      <c r="E514" s="515"/>
      <c r="F514" s="515"/>
      <c r="G514" s="535"/>
      <c r="I514" s="534"/>
      <c r="J514" s="515"/>
      <c r="K514" s="515"/>
      <c r="L514" s="515"/>
      <c r="M514" s="515"/>
      <c r="N514" s="535"/>
    </row>
    <row r="515" spans="2:14" x14ac:dyDescent="0.25">
      <c r="B515" s="534"/>
      <c r="C515" s="515"/>
      <c r="D515" s="515"/>
      <c r="E515" s="515"/>
      <c r="F515" s="515"/>
      <c r="G515" s="535"/>
      <c r="I515" s="534"/>
      <c r="J515" s="515"/>
      <c r="K515" s="515"/>
      <c r="L515" s="515"/>
      <c r="M515" s="515"/>
      <c r="N515" s="535"/>
    </row>
    <row r="516" spans="2:14" ht="14.45" customHeight="1" x14ac:dyDescent="0.25">
      <c r="B516" s="534" t="s">
        <v>86</v>
      </c>
      <c r="C516" s="515"/>
      <c r="D516" s="515"/>
      <c r="E516" s="515" t="s">
        <v>75</v>
      </c>
      <c r="F516" s="515" t="s">
        <v>69</v>
      </c>
      <c r="G516" s="535" t="s">
        <v>84</v>
      </c>
      <c r="I516" s="534" t="s">
        <v>86</v>
      </c>
      <c r="J516" s="515"/>
      <c r="K516" s="515"/>
      <c r="L516" s="515" t="s">
        <v>96</v>
      </c>
      <c r="M516" s="515" t="s">
        <v>93</v>
      </c>
      <c r="N516" s="535" t="s">
        <v>117</v>
      </c>
    </row>
    <row r="517" spans="2:14" x14ac:dyDescent="0.25">
      <c r="B517" s="534"/>
      <c r="C517" s="515"/>
      <c r="D517" s="515"/>
      <c r="E517" s="515"/>
      <c r="F517" s="515"/>
      <c r="G517" s="535"/>
      <c r="I517" s="534"/>
      <c r="J517" s="515"/>
      <c r="K517" s="515"/>
      <c r="L517" s="515"/>
      <c r="M517" s="515"/>
      <c r="N517" s="535"/>
    </row>
    <row r="518" spans="2:14" x14ac:dyDescent="0.25">
      <c r="B518" s="534"/>
      <c r="C518" s="515"/>
      <c r="D518" s="515"/>
      <c r="E518" s="518"/>
      <c r="F518" s="518"/>
      <c r="G518" s="522"/>
      <c r="I518" s="534"/>
      <c r="J518" s="515"/>
      <c r="K518" s="515"/>
      <c r="L518" s="518"/>
      <c r="M518" s="518"/>
      <c r="N518" s="522"/>
    </row>
    <row r="519" spans="2:14" x14ac:dyDescent="0.25">
      <c r="B519" s="570" t="s">
        <v>89</v>
      </c>
      <c r="C519" s="570"/>
      <c r="D519" s="571"/>
      <c r="E519" s="23">
        <f>'Toma de datos'!E38</f>
        <v>0</v>
      </c>
      <c r="F519" s="5">
        <f>$F$508+$F$509*E519</f>
        <v>-0.42666096014274324</v>
      </c>
      <c r="G519" s="5">
        <f>E519+F519</f>
        <v>-0.42666096014274324</v>
      </c>
      <c r="I519" s="570" t="s">
        <v>107</v>
      </c>
      <c r="J519" s="570"/>
      <c r="K519" s="571"/>
      <c r="L519" s="23">
        <f>'Toma de datos'!K38</f>
        <v>0</v>
      </c>
      <c r="M519" s="5">
        <f>$M$508+$M$509*L519</f>
        <v>-4.6830593943562482</v>
      </c>
      <c r="N519" s="5">
        <f>L519+M519</f>
        <v>-4.6830593943562482</v>
      </c>
    </row>
    <row r="520" spans="2:14" x14ac:dyDescent="0.25">
      <c r="B520" s="572" t="s">
        <v>88</v>
      </c>
      <c r="C520" s="572"/>
      <c r="D520" s="573"/>
      <c r="E520" s="23">
        <f>'Toma de datos'!E60</f>
        <v>0</v>
      </c>
      <c r="F520" s="5">
        <f>$F$508+$F$509*E520</f>
        <v>-0.42666096014274324</v>
      </c>
      <c r="G520" s="5">
        <f>E520+F520</f>
        <v>-0.42666096014274324</v>
      </c>
      <c r="I520" s="572" t="s">
        <v>108</v>
      </c>
      <c r="J520" s="572"/>
      <c r="K520" s="573"/>
      <c r="L520" s="23">
        <f>'Toma de datos'!K60</f>
        <v>0</v>
      </c>
      <c r="M520" s="5">
        <f>$M$508+$M$509*L520</f>
        <v>-4.6830593943562482</v>
      </c>
      <c r="N520" s="5">
        <f>L520+M520</f>
        <v>-4.6830593943562482</v>
      </c>
    </row>
    <row r="539" spans="1:15" ht="24.95" customHeight="1" x14ac:dyDescent="0.25">
      <c r="A539" s="536" t="s">
        <v>477</v>
      </c>
      <c r="B539" s="536"/>
      <c r="C539" s="536"/>
      <c r="D539" s="536"/>
      <c r="E539" s="536"/>
      <c r="F539" s="536"/>
      <c r="G539" s="536"/>
      <c r="H539" s="536"/>
      <c r="I539" s="536"/>
      <c r="J539" s="536"/>
      <c r="K539" s="536"/>
      <c r="L539" s="536"/>
      <c r="M539" s="536"/>
      <c r="N539" s="536"/>
      <c r="O539" s="536"/>
    </row>
    <row r="541" spans="1:15" x14ac:dyDescent="0.25">
      <c r="B541" s="537" t="s">
        <v>85</v>
      </c>
      <c r="C541" s="505"/>
      <c r="D541" s="505"/>
      <c r="E541" s="505"/>
      <c r="F541" s="505"/>
      <c r="G541" s="506"/>
      <c r="I541" s="537" t="s">
        <v>90</v>
      </c>
      <c r="J541" s="505"/>
      <c r="K541" s="505"/>
      <c r="L541" s="505"/>
      <c r="M541" s="505"/>
      <c r="N541" s="506"/>
    </row>
    <row r="542" spans="1:15" x14ac:dyDescent="0.25">
      <c r="B542" s="538"/>
      <c r="C542" s="508"/>
      <c r="D542" s="508"/>
      <c r="E542" s="508"/>
      <c r="F542" s="508"/>
      <c r="G542" s="509"/>
      <c r="I542" s="538"/>
      <c r="J542" s="508"/>
      <c r="K542" s="508"/>
      <c r="L542" s="508"/>
      <c r="M542" s="508"/>
      <c r="N542" s="509"/>
    </row>
    <row r="543" spans="1:15" x14ac:dyDescent="0.25">
      <c r="B543" s="538"/>
      <c r="C543" s="508"/>
      <c r="D543" s="508"/>
      <c r="E543" s="508"/>
      <c r="F543" s="508"/>
      <c r="G543" s="509"/>
      <c r="I543" s="538"/>
      <c r="J543" s="508"/>
      <c r="K543" s="508"/>
      <c r="L543" s="508"/>
      <c r="M543" s="508"/>
      <c r="N543" s="509"/>
    </row>
    <row r="544" spans="1:15" x14ac:dyDescent="0.25">
      <c r="B544" s="485" t="s">
        <v>26</v>
      </c>
      <c r="C544" s="485"/>
      <c r="D544" s="486"/>
      <c r="E544" s="479">
        <f>'Equipamiento y listas'!K17</f>
        <v>45455</v>
      </c>
      <c r="F544" s="480"/>
      <c r="G544" s="480"/>
      <c r="I544" s="485" t="s">
        <v>26</v>
      </c>
      <c r="J544" s="485"/>
      <c r="K544" s="486"/>
      <c r="L544" s="479">
        <f>'Equipamiento y listas'!K21</f>
        <v>45455</v>
      </c>
      <c r="M544" s="480"/>
      <c r="N544" s="480"/>
    </row>
    <row r="545" spans="2:14" x14ac:dyDescent="0.25">
      <c r="B545" s="487"/>
      <c r="C545" s="487"/>
      <c r="D545" s="488"/>
      <c r="E545" s="481"/>
      <c r="F545" s="482"/>
      <c r="G545" s="482"/>
      <c r="I545" s="487"/>
      <c r="J545" s="487"/>
      <c r="K545" s="488"/>
      <c r="L545" s="481"/>
      <c r="M545" s="482"/>
      <c r="N545" s="482"/>
    </row>
    <row r="546" spans="2:14" x14ac:dyDescent="0.25">
      <c r="B546" s="489"/>
      <c r="C546" s="489"/>
      <c r="D546" s="490"/>
      <c r="E546" s="483"/>
      <c r="F546" s="484"/>
      <c r="G546" s="484"/>
      <c r="I546" s="489"/>
      <c r="J546" s="489"/>
      <c r="K546" s="490"/>
      <c r="L546" s="483"/>
      <c r="M546" s="484"/>
      <c r="N546" s="484"/>
    </row>
    <row r="547" spans="2:14" ht="14.45" customHeight="1" x14ac:dyDescent="0.25">
      <c r="B547" s="524" t="s">
        <v>68</v>
      </c>
      <c r="C547" s="497" t="s">
        <v>67</v>
      </c>
      <c r="D547" s="497" t="s">
        <v>69</v>
      </c>
      <c r="E547" s="497" t="s">
        <v>70</v>
      </c>
      <c r="F547" s="499" t="s">
        <v>58</v>
      </c>
      <c r="G547" s="497" t="s">
        <v>80</v>
      </c>
      <c r="I547" s="524" t="s">
        <v>91</v>
      </c>
      <c r="J547" s="497" t="s">
        <v>92</v>
      </c>
      <c r="K547" s="497" t="s">
        <v>93</v>
      </c>
      <c r="L547" s="497" t="s">
        <v>94</v>
      </c>
      <c r="M547" s="499" t="s">
        <v>58</v>
      </c>
      <c r="N547" s="497" t="s">
        <v>95</v>
      </c>
    </row>
    <row r="548" spans="2:14" x14ac:dyDescent="0.25">
      <c r="B548" s="525"/>
      <c r="C548" s="498"/>
      <c r="D548" s="498"/>
      <c r="E548" s="498"/>
      <c r="F548" s="500"/>
      <c r="G548" s="498"/>
      <c r="I548" s="525"/>
      <c r="J548" s="498"/>
      <c r="K548" s="498"/>
      <c r="L548" s="498"/>
      <c r="M548" s="500"/>
      <c r="N548" s="498"/>
    </row>
    <row r="549" spans="2:14" x14ac:dyDescent="0.25">
      <c r="B549" s="525"/>
      <c r="C549" s="498"/>
      <c r="D549" s="498"/>
      <c r="E549" s="498"/>
      <c r="F549" s="500"/>
      <c r="G549" s="498"/>
      <c r="I549" s="525"/>
      <c r="J549" s="498"/>
      <c r="K549" s="498"/>
      <c r="L549" s="498"/>
      <c r="M549" s="500"/>
      <c r="N549" s="498"/>
    </row>
    <row r="550" spans="2:14" x14ac:dyDescent="0.25">
      <c r="B550" s="106">
        <v>15.801</v>
      </c>
      <c r="C550" s="106">
        <v>15.5</v>
      </c>
      <c r="D550" s="106">
        <v>0.3</v>
      </c>
      <c r="E550" s="106">
        <v>0.28999999999999998</v>
      </c>
      <c r="F550" s="106">
        <v>2</v>
      </c>
      <c r="G550" s="18">
        <f>IF(C550&lt;&gt;0,$F$553+$F$554*C550)</f>
        <v>5.2350934703641383E-2</v>
      </c>
      <c r="I550" s="106">
        <v>20.96</v>
      </c>
      <c r="J550" s="106">
        <v>25</v>
      </c>
      <c r="K550" s="106">
        <v>-4</v>
      </c>
      <c r="L550" s="106">
        <v>2</v>
      </c>
      <c r="M550" s="106">
        <v>2</v>
      </c>
      <c r="N550" s="18">
        <f>IF(J550&lt;&gt;0,$M$553+$M$554*J550)</f>
        <v>-1.5237397420867522</v>
      </c>
    </row>
    <row r="551" spans="2:14" x14ac:dyDescent="0.25">
      <c r="B551" s="17">
        <v>30.391999999999999</v>
      </c>
      <c r="C551" s="17">
        <v>31.1</v>
      </c>
      <c r="D551" s="17">
        <v>-0.71</v>
      </c>
      <c r="E551" s="17">
        <v>0.3</v>
      </c>
      <c r="F551" s="17">
        <v>2</v>
      </c>
      <c r="G551" s="18">
        <f>IF(C551&lt;&gt;0,$F$553+$F$554*C551)</f>
        <v>-1.3127048817223333E-2</v>
      </c>
      <c r="I551" s="17">
        <v>50.588999999999999</v>
      </c>
      <c r="J551" s="17">
        <v>48</v>
      </c>
      <c r="K551" s="17">
        <v>2.6</v>
      </c>
      <c r="L551" s="17">
        <v>2</v>
      </c>
      <c r="M551" s="17">
        <v>2</v>
      </c>
      <c r="N551" s="18">
        <f>IF(J551&lt;&gt;0,$M$553+$M$554*J551)</f>
        <v>-1.5035169988276669</v>
      </c>
    </row>
    <row r="552" spans="2:14" x14ac:dyDescent="0.25">
      <c r="B552" s="17">
        <v>40.103000000000002</v>
      </c>
      <c r="C552" s="17">
        <v>39.700000000000003</v>
      </c>
      <c r="D552" s="17">
        <v>0.4</v>
      </c>
      <c r="E552" s="17">
        <v>0.3</v>
      </c>
      <c r="F552" s="17">
        <v>2</v>
      </c>
      <c r="G552" s="18">
        <f>IF(C552&lt;&gt;0,$F$553+$F$554*C552)</f>
        <v>-4.9223885886417976E-2</v>
      </c>
      <c r="I552" s="17">
        <v>79.903999999999996</v>
      </c>
      <c r="J552" s="17">
        <v>83</v>
      </c>
      <c r="K552" s="17">
        <v>-3.1</v>
      </c>
      <c r="L552" s="17">
        <v>2</v>
      </c>
      <c r="M552" s="17">
        <v>2</v>
      </c>
      <c r="N552" s="18">
        <f>IF(J552&lt;&gt;0,$M$553+$M$554*J552)</f>
        <v>-1.4727432590855807</v>
      </c>
    </row>
    <row r="553" spans="2:14" x14ac:dyDescent="0.25">
      <c r="B553" s="502" t="s">
        <v>62</v>
      </c>
      <c r="C553" s="515"/>
      <c r="D553" s="526" t="s">
        <v>63</v>
      </c>
      <c r="E553" s="527"/>
      <c r="F553" s="16">
        <f>INDEX(LINEST(D550:D552,C550:C552^{1}),2)</f>
        <v>0.1174091875609108</v>
      </c>
      <c r="G553" s="1" t="s">
        <v>16</v>
      </c>
      <c r="I553" s="502" t="s">
        <v>62</v>
      </c>
      <c r="J553" s="515"/>
      <c r="K553" s="526" t="s">
        <v>63</v>
      </c>
      <c r="L553" s="527"/>
      <c r="M553" s="16">
        <f>INDEX(LINEST(K550:K552,J550:J552^{1}),2)</f>
        <v>-1.5457209847596711</v>
      </c>
      <c r="N553" s="1" t="s">
        <v>48</v>
      </c>
    </row>
    <row r="554" spans="2:14" x14ac:dyDescent="0.25">
      <c r="B554" s="502"/>
      <c r="C554" s="515"/>
      <c r="D554" s="526" t="s">
        <v>64</v>
      </c>
      <c r="E554" s="527"/>
      <c r="F554" s="16">
        <f>INDEX(LINEST(D550:D552,C550:C552^{1}),1)</f>
        <v>-4.1973066359528655E-3</v>
      </c>
      <c r="G554" s="1">
        <v>1</v>
      </c>
      <c r="I554" s="502"/>
      <c r="J554" s="515"/>
      <c r="K554" s="526" t="s">
        <v>64</v>
      </c>
      <c r="L554" s="527"/>
      <c r="M554" s="16">
        <f>INDEX(LINEST(K550:K552,J550:J552^{1}),1)</f>
        <v>8.7924970691675335E-4</v>
      </c>
      <c r="N554" s="1">
        <v>1</v>
      </c>
    </row>
    <row r="555" spans="2:14" ht="17.25" x14ac:dyDescent="0.25">
      <c r="B555" s="503"/>
      <c r="C555" s="516"/>
      <c r="D555" s="528" t="s">
        <v>71</v>
      </c>
      <c r="E555" s="529"/>
      <c r="F555" s="5">
        <f>RSQ(D550:D552,C550:C552)</f>
        <v>7.0320007736987735E-3</v>
      </c>
      <c r="G555" s="1" t="s">
        <v>72</v>
      </c>
      <c r="I555" s="503"/>
      <c r="J555" s="516"/>
      <c r="K555" s="528" t="s">
        <v>71</v>
      </c>
      <c r="L555" s="529"/>
      <c r="M555" s="5">
        <f>RSQ(K550:K552,J550:J552)</f>
        <v>5.147832007709393E-5</v>
      </c>
      <c r="N555" s="1" t="s">
        <v>72</v>
      </c>
    </row>
    <row r="556" spans="2:14" x14ac:dyDescent="0.25">
      <c r="B556" s="517"/>
      <c r="C556" s="518"/>
      <c r="D556" s="530" t="s">
        <v>81</v>
      </c>
      <c r="E556" s="531"/>
      <c r="F556" s="5">
        <f t="array" ref="F556">SQRT(SUMSQ(D550:D552-G550:G552)/(COUNT(D550:D552)-2))</f>
        <v>0.86531154463767912</v>
      </c>
      <c r="G556" s="1" t="s">
        <v>16</v>
      </c>
      <c r="I556" s="517"/>
      <c r="J556" s="518"/>
      <c r="K556" s="530" t="s">
        <v>81</v>
      </c>
      <c r="L556" s="531"/>
      <c r="M556" s="5">
        <f t="array" ref="M556">SQRT(SUMSQ(K550:K552-N550:N552)/(COUNT(K550:K552)-2))</f>
        <v>5.0614900104059899</v>
      </c>
      <c r="N556" s="1" t="s">
        <v>48</v>
      </c>
    </row>
    <row r="558" spans="2:14" ht="14.45" customHeight="1" x14ac:dyDescent="0.25">
      <c r="B558" s="532" t="s">
        <v>87</v>
      </c>
      <c r="C558" s="514"/>
      <c r="D558" s="514"/>
      <c r="E558" s="514"/>
      <c r="F558" s="514"/>
      <c r="G558" s="533"/>
      <c r="I558" s="532" t="s">
        <v>116</v>
      </c>
      <c r="J558" s="514"/>
      <c r="K558" s="514"/>
      <c r="L558" s="514"/>
      <c r="M558" s="514"/>
      <c r="N558" s="533"/>
    </row>
    <row r="559" spans="2:14" x14ac:dyDescent="0.25">
      <c r="B559" s="534"/>
      <c r="C559" s="515"/>
      <c r="D559" s="515"/>
      <c r="E559" s="515"/>
      <c r="F559" s="515"/>
      <c r="G559" s="535"/>
      <c r="I559" s="534"/>
      <c r="J559" s="515"/>
      <c r="K559" s="515"/>
      <c r="L559" s="515"/>
      <c r="M559" s="515"/>
      <c r="N559" s="535"/>
    </row>
    <row r="560" spans="2:14" x14ac:dyDescent="0.25">
      <c r="B560" s="534"/>
      <c r="C560" s="515"/>
      <c r="D560" s="515"/>
      <c r="E560" s="515"/>
      <c r="F560" s="515"/>
      <c r="G560" s="535"/>
      <c r="I560" s="534"/>
      <c r="J560" s="515"/>
      <c r="K560" s="515"/>
      <c r="L560" s="515"/>
      <c r="M560" s="515"/>
      <c r="N560" s="535"/>
    </row>
    <row r="561" spans="2:14" ht="14.45" customHeight="1" x14ac:dyDescent="0.25">
      <c r="B561" s="534" t="s">
        <v>86</v>
      </c>
      <c r="C561" s="515"/>
      <c r="D561" s="515"/>
      <c r="E561" s="515" t="s">
        <v>75</v>
      </c>
      <c r="F561" s="515" t="s">
        <v>69</v>
      </c>
      <c r="G561" s="535" t="s">
        <v>84</v>
      </c>
      <c r="I561" s="534" t="s">
        <v>86</v>
      </c>
      <c r="J561" s="515"/>
      <c r="K561" s="515"/>
      <c r="L561" s="515" t="s">
        <v>96</v>
      </c>
      <c r="M561" s="515" t="s">
        <v>93</v>
      </c>
      <c r="N561" s="535" t="s">
        <v>117</v>
      </c>
    </row>
    <row r="562" spans="2:14" x14ac:dyDescent="0.25">
      <c r="B562" s="534"/>
      <c r="C562" s="515"/>
      <c r="D562" s="515"/>
      <c r="E562" s="515"/>
      <c r="F562" s="515"/>
      <c r="G562" s="535"/>
      <c r="I562" s="534"/>
      <c r="J562" s="515"/>
      <c r="K562" s="515"/>
      <c r="L562" s="515"/>
      <c r="M562" s="515"/>
      <c r="N562" s="535"/>
    </row>
    <row r="563" spans="2:14" x14ac:dyDescent="0.25">
      <c r="B563" s="534"/>
      <c r="C563" s="515"/>
      <c r="D563" s="515"/>
      <c r="E563" s="518"/>
      <c r="F563" s="518"/>
      <c r="G563" s="522"/>
      <c r="I563" s="534"/>
      <c r="J563" s="515"/>
      <c r="K563" s="515"/>
      <c r="L563" s="518"/>
      <c r="M563" s="518"/>
      <c r="N563" s="522"/>
    </row>
    <row r="564" spans="2:14" x14ac:dyDescent="0.25">
      <c r="B564" s="570" t="s">
        <v>89</v>
      </c>
      <c r="C564" s="570"/>
      <c r="D564" s="571"/>
      <c r="E564" s="23">
        <f>'Toma de datos'!E38</f>
        <v>0</v>
      </c>
      <c r="F564" s="5">
        <f>$F$553+$F$554*E564</f>
        <v>0.1174091875609108</v>
      </c>
      <c r="G564" s="5">
        <f>E564+F564</f>
        <v>0.1174091875609108</v>
      </c>
      <c r="I564" s="570" t="s">
        <v>107</v>
      </c>
      <c r="J564" s="570"/>
      <c r="K564" s="571"/>
      <c r="L564" s="23">
        <f>'Toma de datos'!K38</f>
        <v>0</v>
      </c>
      <c r="M564" s="5">
        <f>$M$553+$M$554*L564</f>
        <v>-1.5457209847596711</v>
      </c>
      <c r="N564" s="5">
        <f>L564+M564</f>
        <v>-1.5457209847596711</v>
      </c>
    </row>
    <row r="565" spans="2:14" x14ac:dyDescent="0.25">
      <c r="B565" s="572" t="s">
        <v>88</v>
      </c>
      <c r="C565" s="572"/>
      <c r="D565" s="573"/>
      <c r="E565" s="23">
        <f>'Toma de datos'!E60</f>
        <v>0</v>
      </c>
      <c r="F565" s="5">
        <f>$F$553+$F$554*E565</f>
        <v>0.1174091875609108</v>
      </c>
      <c r="G565" s="5">
        <f>E565+F565</f>
        <v>0.1174091875609108</v>
      </c>
      <c r="I565" s="572" t="s">
        <v>108</v>
      </c>
      <c r="J565" s="572"/>
      <c r="K565" s="573"/>
      <c r="L565" s="23">
        <f>'Toma de datos'!K60</f>
        <v>0</v>
      </c>
      <c r="M565" s="5">
        <f>$M$553+$M$554*L565</f>
        <v>-1.5457209847596711</v>
      </c>
      <c r="N565" s="5">
        <f>L565+M565</f>
        <v>-1.5457209847596711</v>
      </c>
    </row>
    <row r="584" spans="1:15" ht="24.95" customHeight="1" x14ac:dyDescent="0.25">
      <c r="A584" s="536" t="s">
        <v>516</v>
      </c>
      <c r="B584" s="536"/>
      <c r="C584" s="536"/>
      <c r="D584" s="536"/>
      <c r="E584" s="536"/>
      <c r="F584" s="536"/>
      <c r="G584" s="536"/>
      <c r="H584" s="536"/>
      <c r="I584" s="536"/>
      <c r="J584" s="536"/>
      <c r="K584" s="536"/>
      <c r="L584" s="536"/>
      <c r="M584" s="536"/>
      <c r="N584" s="536"/>
      <c r="O584" s="536"/>
    </row>
    <row r="586" spans="1:15" x14ac:dyDescent="0.25">
      <c r="B586" s="537" t="s">
        <v>60</v>
      </c>
      <c r="C586" s="505"/>
      <c r="D586" s="505"/>
      <c r="E586" s="505"/>
      <c r="F586" s="505"/>
      <c r="G586" s="506"/>
      <c r="I586" s="508" t="s">
        <v>61</v>
      </c>
      <c r="J586" s="508"/>
      <c r="K586" s="508"/>
      <c r="L586" s="508"/>
      <c r="M586" s="508"/>
      <c r="N586" s="508"/>
    </row>
    <row r="587" spans="1:15" x14ac:dyDescent="0.25">
      <c r="B587" s="538"/>
      <c r="C587" s="508"/>
      <c r="D587" s="508"/>
      <c r="E587" s="508"/>
      <c r="F587" s="508"/>
      <c r="G587" s="509"/>
      <c r="I587" s="508"/>
      <c r="J587" s="508"/>
      <c r="K587" s="508"/>
      <c r="L587" s="508"/>
      <c r="M587" s="508"/>
      <c r="N587" s="508"/>
    </row>
    <row r="588" spans="1:15" x14ac:dyDescent="0.25">
      <c r="B588" s="538"/>
      <c r="C588" s="508"/>
      <c r="D588" s="508"/>
      <c r="E588" s="508"/>
      <c r="F588" s="508"/>
      <c r="G588" s="509"/>
      <c r="I588" s="508"/>
      <c r="J588" s="508"/>
      <c r="K588" s="508"/>
      <c r="L588" s="508"/>
      <c r="M588" s="508"/>
      <c r="N588" s="508"/>
    </row>
    <row r="589" spans="1:15" ht="14.45" customHeight="1" x14ac:dyDescent="0.25">
      <c r="B589" s="485" t="s">
        <v>26</v>
      </c>
      <c r="C589" s="485"/>
      <c r="D589" s="486"/>
      <c r="E589" s="479">
        <f>'Equipamiento y listas'!K28</f>
        <v>45490</v>
      </c>
      <c r="F589" s="480"/>
      <c r="G589" s="480"/>
      <c r="I589" s="485" t="s">
        <v>118</v>
      </c>
      <c r="J589" s="485"/>
      <c r="K589" s="486"/>
      <c r="L589" s="491"/>
      <c r="M589" s="492"/>
      <c r="N589" s="492"/>
    </row>
    <row r="590" spans="1:15" x14ac:dyDescent="0.25">
      <c r="B590" s="487"/>
      <c r="C590" s="487"/>
      <c r="D590" s="488"/>
      <c r="E590" s="481"/>
      <c r="F590" s="482"/>
      <c r="G590" s="482"/>
      <c r="I590" s="487"/>
      <c r="J590" s="487"/>
      <c r="K590" s="488"/>
      <c r="L590" s="493"/>
      <c r="M590" s="494"/>
      <c r="N590" s="494"/>
    </row>
    <row r="591" spans="1:15" x14ac:dyDescent="0.25">
      <c r="B591" s="489"/>
      <c r="C591" s="489"/>
      <c r="D591" s="490"/>
      <c r="E591" s="483"/>
      <c r="F591" s="484"/>
      <c r="G591" s="484"/>
      <c r="I591" s="489"/>
      <c r="J591" s="489"/>
      <c r="K591" s="490"/>
      <c r="L591" s="495"/>
      <c r="M591" s="496"/>
      <c r="N591" s="496"/>
    </row>
    <row r="592" spans="1:15" ht="14.45" customHeight="1" x14ac:dyDescent="0.25">
      <c r="B592" s="524" t="s">
        <v>330</v>
      </c>
      <c r="C592" s="497" t="s">
        <v>331</v>
      </c>
      <c r="D592" s="497" t="s">
        <v>332</v>
      </c>
      <c r="E592" s="497" t="s">
        <v>333</v>
      </c>
      <c r="F592" s="518" t="s">
        <v>58</v>
      </c>
      <c r="G592" s="522" t="s">
        <v>334</v>
      </c>
      <c r="I592" s="524" t="s">
        <v>330</v>
      </c>
      <c r="J592" s="497" t="s">
        <v>331</v>
      </c>
      <c r="K592" s="497" t="s">
        <v>332</v>
      </c>
      <c r="L592" s="497" t="s">
        <v>333</v>
      </c>
      <c r="M592" s="497" t="s">
        <v>58</v>
      </c>
      <c r="N592" s="499" t="s">
        <v>334</v>
      </c>
    </row>
    <row r="593" spans="1:14" x14ac:dyDescent="0.25">
      <c r="B593" s="525"/>
      <c r="C593" s="498"/>
      <c r="D593" s="498"/>
      <c r="E593" s="498"/>
      <c r="F593" s="498"/>
      <c r="G593" s="500"/>
      <c r="I593" s="525"/>
      <c r="J593" s="498"/>
      <c r="K593" s="498"/>
      <c r="L593" s="498"/>
      <c r="M593" s="498"/>
      <c r="N593" s="500"/>
    </row>
    <row r="594" spans="1:14" x14ac:dyDescent="0.25">
      <c r="B594" s="539"/>
      <c r="C594" s="521"/>
      <c r="D594" s="521"/>
      <c r="E594" s="521"/>
      <c r="F594" s="521"/>
      <c r="G594" s="523"/>
      <c r="I594" s="525"/>
      <c r="J594" s="498"/>
      <c r="K594" s="498"/>
      <c r="L594" s="498"/>
      <c r="M594" s="498"/>
      <c r="N594" s="500"/>
    </row>
    <row r="595" spans="1:14" ht="14.45" customHeight="1" x14ac:dyDescent="0.25">
      <c r="A595" s="6"/>
      <c r="B595" s="44">
        <v>0</v>
      </c>
      <c r="C595" s="44">
        <v>0</v>
      </c>
      <c r="D595" s="44">
        <v>0</v>
      </c>
      <c r="E595" s="44">
        <v>0.41</v>
      </c>
      <c r="F595" s="44">
        <v>1.98</v>
      </c>
      <c r="G595" s="45">
        <f t="shared" ref="G595:G605" si="21">IF(NOT(ISBLANK(C595)),$F$606+$F$607*C595)</f>
        <v>2.8281899948863964E-3</v>
      </c>
      <c r="H595" s="7"/>
      <c r="I595" s="17"/>
      <c r="J595" s="17"/>
      <c r="K595" s="17"/>
      <c r="L595" s="17"/>
      <c r="M595" s="17"/>
      <c r="N595" s="22" t="b">
        <f t="shared" ref="N595:N605" si="22">IF(NOT(ISBLANK(J595)),$M$387+$M$388*J595+$M$391*J595*J595)</f>
        <v>0</v>
      </c>
    </row>
    <row r="596" spans="1:14" x14ac:dyDescent="0.25">
      <c r="B596" s="17">
        <v>50</v>
      </c>
      <c r="C596" s="17">
        <v>50</v>
      </c>
      <c r="D596" s="17">
        <v>0</v>
      </c>
      <c r="E596" s="17">
        <v>0.41</v>
      </c>
      <c r="F596" s="17">
        <v>1.98</v>
      </c>
      <c r="G596" s="45">
        <f t="shared" si="21"/>
        <v>4.4197317592397419E-3</v>
      </c>
      <c r="H596" s="7"/>
      <c r="I596" s="17"/>
      <c r="J596" s="17"/>
      <c r="K596" s="17"/>
      <c r="L596" s="17"/>
      <c r="M596" s="17"/>
      <c r="N596" s="22" t="b">
        <f t="shared" si="22"/>
        <v>0</v>
      </c>
    </row>
    <row r="597" spans="1:14" x14ac:dyDescent="0.25">
      <c r="B597" s="17">
        <v>100</v>
      </c>
      <c r="C597" s="17">
        <v>100.01</v>
      </c>
      <c r="D597" s="17">
        <v>0.01</v>
      </c>
      <c r="E597" s="17">
        <v>0.41</v>
      </c>
      <c r="F597" s="17">
        <v>1.98</v>
      </c>
      <c r="G597" s="45">
        <f t="shared" si="21"/>
        <v>6.0115918319459585E-3</v>
      </c>
      <c r="H597" s="7"/>
      <c r="I597" s="17"/>
      <c r="J597" s="17"/>
      <c r="K597" s="17"/>
      <c r="L597" s="17"/>
      <c r="M597" s="17"/>
      <c r="N597" s="22" t="b">
        <f t="shared" si="22"/>
        <v>0</v>
      </c>
    </row>
    <row r="598" spans="1:14" x14ac:dyDescent="0.25">
      <c r="B598" s="17">
        <v>120</v>
      </c>
      <c r="C598" s="17">
        <v>120.01</v>
      </c>
      <c r="D598" s="17">
        <v>0.01</v>
      </c>
      <c r="E598" s="17">
        <v>0.41</v>
      </c>
      <c r="F598" s="17">
        <v>1.98</v>
      </c>
      <c r="G598" s="45">
        <f t="shared" si="21"/>
        <v>6.6482085376872967E-3</v>
      </c>
      <c r="H598" s="7"/>
      <c r="I598" s="17"/>
      <c r="J598" s="17"/>
      <c r="K598" s="17"/>
      <c r="L598" s="17"/>
      <c r="M598" s="17"/>
      <c r="N598" s="22" t="b">
        <f t="shared" si="22"/>
        <v>0</v>
      </c>
    </row>
    <row r="599" spans="1:14" x14ac:dyDescent="0.25">
      <c r="B599" s="17">
        <v>150</v>
      </c>
      <c r="C599" s="17">
        <v>150.01</v>
      </c>
      <c r="D599" s="17">
        <v>0.01</v>
      </c>
      <c r="E599" s="17">
        <v>0.41</v>
      </c>
      <c r="F599" s="17">
        <v>1.98</v>
      </c>
      <c r="G599" s="45">
        <f t="shared" si="21"/>
        <v>7.603133596299304E-3</v>
      </c>
      <c r="H599" s="7"/>
      <c r="I599" s="17"/>
      <c r="J599" s="17"/>
      <c r="K599" s="17"/>
      <c r="L599" s="17"/>
      <c r="M599" s="17"/>
      <c r="N599" s="22" t="b">
        <f t="shared" si="22"/>
        <v>0</v>
      </c>
    </row>
    <row r="600" spans="1:14" x14ac:dyDescent="0.25">
      <c r="B600" s="17">
        <v>180</v>
      </c>
      <c r="C600" s="17">
        <v>180.01</v>
      </c>
      <c r="D600" s="17">
        <v>0.01</v>
      </c>
      <c r="E600" s="17">
        <v>0.41</v>
      </c>
      <c r="F600" s="17">
        <v>1.98</v>
      </c>
      <c r="G600" s="45">
        <f t="shared" si="21"/>
        <v>8.5580586549113113E-3</v>
      </c>
      <c r="H600" s="7"/>
      <c r="I600" s="17"/>
      <c r="J600" s="17"/>
      <c r="K600" s="17"/>
      <c r="L600" s="17"/>
      <c r="M600" s="17"/>
      <c r="N600" s="22" t="b">
        <f t="shared" si="22"/>
        <v>0</v>
      </c>
    </row>
    <row r="601" spans="1:14" x14ac:dyDescent="0.25">
      <c r="B601" s="17">
        <v>200</v>
      </c>
      <c r="C601" s="17">
        <v>200.01</v>
      </c>
      <c r="D601" s="17">
        <v>0.01</v>
      </c>
      <c r="E601" s="17">
        <v>0.41</v>
      </c>
      <c r="F601" s="17">
        <v>1.98</v>
      </c>
      <c r="G601" s="45">
        <f t="shared" si="21"/>
        <v>9.1946753606526495E-3</v>
      </c>
      <c r="H601" s="7"/>
      <c r="I601" s="17"/>
      <c r="J601" s="17"/>
      <c r="K601" s="17"/>
      <c r="L601" s="17"/>
      <c r="M601" s="17"/>
      <c r="N601" s="22" t="b">
        <f t="shared" si="22"/>
        <v>0</v>
      </c>
    </row>
    <row r="602" spans="1:14" x14ac:dyDescent="0.25">
      <c r="B602" s="17">
        <v>220</v>
      </c>
      <c r="C602" s="17">
        <v>220.01</v>
      </c>
      <c r="D602" s="17">
        <v>0.01</v>
      </c>
      <c r="E602" s="17">
        <v>0.41</v>
      </c>
      <c r="F602" s="17">
        <v>1.98</v>
      </c>
      <c r="G602" s="45">
        <f t="shared" si="21"/>
        <v>9.8312920663939894E-3</v>
      </c>
      <c r="I602" s="17"/>
      <c r="J602" s="17"/>
      <c r="K602" s="17"/>
      <c r="L602" s="17"/>
      <c r="M602" s="17"/>
      <c r="N602" s="22" t="b">
        <f t="shared" si="22"/>
        <v>0</v>
      </c>
    </row>
    <row r="603" spans="1:14" x14ac:dyDescent="0.25">
      <c r="B603" s="46">
        <v>250</v>
      </c>
      <c r="C603" s="46">
        <v>250.01</v>
      </c>
      <c r="D603" s="46">
        <v>0.01</v>
      </c>
      <c r="E603" s="17">
        <v>0.41</v>
      </c>
      <c r="F603" s="17">
        <v>1.98</v>
      </c>
      <c r="G603" s="45">
        <f t="shared" si="21"/>
        <v>1.0786217125005996E-2</v>
      </c>
      <c r="I603" s="21"/>
      <c r="J603" s="17"/>
      <c r="K603" s="17"/>
      <c r="L603" s="17"/>
      <c r="M603" s="17"/>
      <c r="N603" s="22" t="b">
        <f t="shared" si="22"/>
        <v>0</v>
      </c>
    </row>
    <row r="604" spans="1:14" x14ac:dyDescent="0.25">
      <c r="B604" s="46">
        <v>280</v>
      </c>
      <c r="C604" s="46">
        <v>280.01</v>
      </c>
      <c r="D604" s="46">
        <v>0.01</v>
      </c>
      <c r="E604" s="17">
        <v>0.41</v>
      </c>
      <c r="F604" s="17">
        <v>1.98</v>
      </c>
      <c r="G604" s="45">
        <f t="shared" si="21"/>
        <v>1.1741142183618002E-2</v>
      </c>
      <c r="I604" s="21"/>
      <c r="J604" s="17"/>
      <c r="K604" s="17"/>
      <c r="L604" s="17"/>
      <c r="M604" s="17"/>
      <c r="N604" s="22" t="b">
        <f t="shared" ref="N604" si="23">IF(NOT(ISBLANK(J604)),$M$387+$M$388*J604+$M$391*J604*J604)</f>
        <v>0</v>
      </c>
    </row>
    <row r="605" spans="1:14" x14ac:dyDescent="0.25">
      <c r="B605" s="46">
        <v>300</v>
      </c>
      <c r="C605" s="46">
        <v>300.01</v>
      </c>
      <c r="D605" s="46">
        <v>0.01</v>
      </c>
      <c r="E605" s="17">
        <v>0.41</v>
      </c>
      <c r="F605" s="17">
        <v>1.98</v>
      </c>
      <c r="G605" s="45">
        <f t="shared" si="21"/>
        <v>1.2377758889359342E-2</v>
      </c>
      <c r="I605" s="21"/>
      <c r="J605" s="17"/>
      <c r="K605" s="17"/>
      <c r="L605" s="17"/>
      <c r="M605" s="17"/>
      <c r="N605" s="22" t="b">
        <f t="shared" si="22"/>
        <v>0</v>
      </c>
    </row>
    <row r="606" spans="1:14" ht="17.100000000000001" customHeight="1" x14ac:dyDescent="0.25">
      <c r="B606" s="513" t="s">
        <v>62</v>
      </c>
      <c r="C606" s="514"/>
      <c r="D606" s="519" t="s">
        <v>63</v>
      </c>
      <c r="E606" s="520"/>
      <c r="F606" s="43">
        <f>INDEX(LINEST(D595:D605,C595:C605^{1}),2)</f>
        <v>2.8281899948863964E-3</v>
      </c>
      <c r="G606" s="29" t="s">
        <v>208</v>
      </c>
      <c r="I606" s="502" t="s">
        <v>62</v>
      </c>
      <c r="J606" s="515"/>
      <c r="K606" s="526" t="s">
        <v>63</v>
      </c>
      <c r="L606" s="527"/>
      <c r="M606" s="16" t="e">
        <f>INDEX(LINEST(K595:K605,J595:J605^{1}),2)</f>
        <v>#VALUE!</v>
      </c>
      <c r="N606" s="1" t="s">
        <v>208</v>
      </c>
    </row>
    <row r="607" spans="1:14" ht="17.100000000000001" customHeight="1" x14ac:dyDescent="0.25">
      <c r="B607" s="502"/>
      <c r="C607" s="515"/>
      <c r="D607" s="526" t="s">
        <v>64</v>
      </c>
      <c r="E607" s="527"/>
      <c r="F607" s="16">
        <f>INDEX(LINEST(D595:D605,C595:C605^{1}),1)</f>
        <v>3.1830835287066916E-5</v>
      </c>
      <c r="G607" s="1">
        <v>1</v>
      </c>
      <c r="I607" s="502"/>
      <c r="J607" s="515"/>
      <c r="K607" s="526" t="s">
        <v>64</v>
      </c>
      <c r="L607" s="527"/>
      <c r="M607" s="16" t="e">
        <f>INDEX(LINEST(K595:K605,J595:J605^{1}),1)</f>
        <v>#VALUE!</v>
      </c>
      <c r="N607" s="1">
        <v>1</v>
      </c>
    </row>
    <row r="608" spans="1:14" ht="17.100000000000001" customHeight="1" x14ac:dyDescent="0.25">
      <c r="B608" s="503"/>
      <c r="C608" s="516"/>
      <c r="D608" s="528" t="s">
        <v>71</v>
      </c>
      <c r="E608" s="529"/>
      <c r="F608" s="5">
        <f>RSQ(D595:D605,C595:C605)</f>
        <v>0.55707144835895805</v>
      </c>
      <c r="G608" s="1" t="s">
        <v>72</v>
      </c>
      <c r="I608" s="503"/>
      <c r="J608" s="516"/>
      <c r="K608" s="528" t="s">
        <v>71</v>
      </c>
      <c r="L608" s="529"/>
      <c r="M608" s="5" t="e">
        <f>RSQ(K595:K605,J595:J605)</f>
        <v>#DIV/0!</v>
      </c>
      <c r="N608" s="1" t="s">
        <v>72</v>
      </c>
    </row>
    <row r="609" spans="2:14" ht="17.100000000000001" customHeight="1" x14ac:dyDescent="0.25">
      <c r="B609" s="517"/>
      <c r="C609" s="518"/>
      <c r="D609" s="530" t="s">
        <v>81</v>
      </c>
      <c r="E609" s="531"/>
      <c r="F609" s="5">
        <f t="array" ref="F609">SQRT(SUMSQ(D595:D605-G595:G605)/(COUNT(D595:D605)-COUNT(F606:F607)))</f>
        <v>2.8378242358316507E-3</v>
      </c>
      <c r="G609" s="1" t="s">
        <v>208</v>
      </c>
      <c r="I609" s="517"/>
      <c r="J609" s="518"/>
      <c r="K609" s="530" t="s">
        <v>81</v>
      </c>
      <c r="L609" s="531"/>
      <c r="M609" s="5">
        <f t="array" ref="M609">SQRT(SUMSQ(K595:K605-N595:N605)/(COUNT(K595:K605)-3))</f>
        <v>0</v>
      </c>
      <c r="N609" s="1" t="s">
        <v>208</v>
      </c>
    </row>
    <row r="611" spans="2:14" ht="14.45" customHeight="1" x14ac:dyDescent="0.25">
      <c r="B611" s="501" t="s">
        <v>78</v>
      </c>
      <c r="C611" s="504" t="s">
        <v>79</v>
      </c>
      <c r="D611" s="505"/>
      <c r="E611" s="505"/>
      <c r="F611" s="505"/>
      <c r="G611" s="506"/>
    </row>
    <row r="612" spans="2:14" x14ac:dyDescent="0.25">
      <c r="B612" s="502"/>
      <c r="C612" s="507"/>
      <c r="D612" s="508"/>
      <c r="E612" s="508"/>
      <c r="F612" s="508"/>
      <c r="G612" s="509"/>
    </row>
    <row r="613" spans="2:14" x14ac:dyDescent="0.25">
      <c r="B613" s="502"/>
      <c r="C613" s="510"/>
      <c r="D613" s="511"/>
      <c r="E613" s="511"/>
      <c r="F613" s="511"/>
      <c r="G613" s="512"/>
    </row>
    <row r="614" spans="2:14" ht="14.45" customHeight="1" x14ac:dyDescent="0.25">
      <c r="B614" s="502"/>
      <c r="C614" s="497" t="s">
        <v>331</v>
      </c>
      <c r="D614" s="497" t="s">
        <v>332</v>
      </c>
      <c r="E614" s="497" t="s">
        <v>337</v>
      </c>
      <c r="F614" s="497" t="s">
        <v>333</v>
      </c>
      <c r="G614" s="499" t="s">
        <v>58</v>
      </c>
    </row>
    <row r="615" spans="2:14" x14ac:dyDescent="0.25">
      <c r="B615" s="502"/>
      <c r="C615" s="498"/>
      <c r="D615" s="498"/>
      <c r="E615" s="498"/>
      <c r="F615" s="498"/>
      <c r="G615" s="500"/>
    </row>
    <row r="616" spans="2:14" x14ac:dyDescent="0.25">
      <c r="B616" s="503"/>
      <c r="C616" s="498"/>
      <c r="D616" s="498"/>
      <c r="E616" s="498"/>
      <c r="F616" s="498"/>
      <c r="G616" s="500"/>
    </row>
    <row r="617" spans="2:14" ht="14.45" customHeight="1" x14ac:dyDescent="0.25">
      <c r="B617" s="59" t="s">
        <v>335</v>
      </c>
      <c r="C617" s="1">
        <f>'Información general'!H53</f>
        <v>0</v>
      </c>
      <c r="D617" s="5">
        <f>F606+F607*C617</f>
        <v>2.8281899948863964E-3</v>
      </c>
      <c r="E617" s="5">
        <f>IFERROR(ABS(D617-(M606+M607*C617)),'Equipamiento y listas'!I28)</f>
        <v>0.6</v>
      </c>
      <c r="F617" s="1">
        <f>IF(AND(C595&lt;=C617,C617&lt;=C596),MAX(E595:E596),IF(AND(C596&lt;=C617,C617&lt;=C597),MAX(E596:E597),IF(AND(C597&lt;=C617,C617&lt;=C598),MAX(E597:E598),IF(AND(C598&lt;=C617,C617&lt;=C599),MAX(E598:E599),IF(AND(C599&lt;=C617,C617&lt;=C600),MAX(E599:E600),IF(AND(C600&lt;=C617,C617&lt;=C601),MAX(E600:E601),IF(AND(C601&lt;=C617,C617&lt;=C602),MAX(E601:E602),IF(AND(C602&lt;=C617,C617&lt;=C605),MAX(E602:E605)))))))))</f>
        <v>0.41</v>
      </c>
      <c r="G617" s="1">
        <f>VLOOKUP(F617,E595:F605,2)</f>
        <v>1.98</v>
      </c>
    </row>
    <row r="618" spans="2:14" ht="14.45" customHeight="1" x14ac:dyDescent="0.25">
      <c r="B618" s="60" t="s">
        <v>336</v>
      </c>
      <c r="C618" s="1">
        <f>'Información general'!H55</f>
        <v>0</v>
      </c>
      <c r="D618" s="5">
        <f>F606+F607*C618</f>
        <v>2.8281899948863964E-3</v>
      </c>
      <c r="E618" s="5">
        <f>IFERROR(ABS(D618-(M606+M607*C618)),'Equipamiento y listas'!I28)</f>
        <v>0.6</v>
      </c>
      <c r="F618" s="1">
        <f>IF(AND(C595&lt;=C618,C618&lt;=C596),MAX(E595:E596),IF(AND(C596&lt;=C618,C618&lt;=C597),MAX(E596:E597),IF(AND(C597&lt;=C618,C618&lt;=C598),MAX(E597:E598),IF(AND(C598&lt;=C618,C618&lt;=C599),MAX(E598:E599),IF(AND(C599&lt;=C618,C618&lt;=C600),MAX(E599:E600),IF(AND(C600&lt;=C618,C618&lt;=C601),MAX(E600:E601),IF(AND(C601&lt;=C618,C618&lt;=C602),MAX(E601:E602),IF(AND(C602&lt;=C618,C618&lt;=C605),MAX(E602:E605)))))))))</f>
        <v>0.41</v>
      </c>
      <c r="G618" s="1">
        <f>VLOOKUP(F618,E595:F605,2)</f>
        <v>1.98</v>
      </c>
    </row>
    <row r="619" spans="2:14" ht="15.75" thickBot="1" x14ac:dyDescent="0.3"/>
    <row r="620" spans="2:14" ht="24.95" customHeight="1" x14ac:dyDescent="0.25">
      <c r="B620" s="576" t="s">
        <v>74</v>
      </c>
      <c r="C620" s="577"/>
      <c r="D620" s="577"/>
      <c r="E620" s="577"/>
      <c r="F620" s="577"/>
      <c r="G620" s="577"/>
      <c r="H620" s="577"/>
      <c r="I620" s="577"/>
      <c r="J620" s="577"/>
      <c r="K620" s="577"/>
      <c r="L620" s="577"/>
      <c r="M620" s="577"/>
      <c r="N620" s="577"/>
    </row>
    <row r="621" spans="2:14" ht="15.75" thickBot="1" x14ac:dyDescent="0.3"/>
    <row r="622" spans="2:14" x14ac:dyDescent="0.25">
      <c r="C622" s="566" t="s">
        <v>271</v>
      </c>
      <c r="D622" s="567"/>
      <c r="E622" s="566" t="s">
        <v>269</v>
      </c>
      <c r="F622" s="567"/>
      <c r="G622" s="566" t="s">
        <v>270</v>
      </c>
      <c r="H622" s="567"/>
    </row>
    <row r="623" spans="2:14" x14ac:dyDescent="0.25">
      <c r="C623" s="568"/>
      <c r="D623" s="569"/>
      <c r="E623" s="568"/>
      <c r="F623" s="569"/>
      <c r="G623" s="568"/>
      <c r="H623" s="569"/>
    </row>
    <row r="624" spans="2:14" ht="17.45" customHeight="1" x14ac:dyDescent="0.25">
      <c r="C624" s="15" t="s">
        <v>73</v>
      </c>
      <c r="D624" s="8">
        <f>(MAX(C19:C31)-MIN(C19:C31))/100</f>
        <v>0.25</v>
      </c>
      <c r="E624" s="15" t="s">
        <v>73</v>
      </c>
      <c r="F624" s="8">
        <f>(MAX(C117:C127)-MIN(C117:C127))/100</f>
        <v>60</v>
      </c>
      <c r="G624" s="15" t="s">
        <v>73</v>
      </c>
      <c r="H624" s="8">
        <f>(MAX(C213:C223)-MIN(C213:C223))/100</f>
        <v>10</v>
      </c>
    </row>
    <row r="625" spans="3:8" ht="17.45" customHeight="1" x14ac:dyDescent="0.25">
      <c r="C625" s="13" t="s">
        <v>272</v>
      </c>
      <c r="D625" s="14" t="s">
        <v>273</v>
      </c>
      <c r="E625" s="13" t="s">
        <v>272</v>
      </c>
      <c r="F625" s="14" t="s">
        <v>273</v>
      </c>
      <c r="G625" s="13" t="s">
        <v>272</v>
      </c>
      <c r="H625" s="14" t="s">
        <v>273</v>
      </c>
    </row>
    <row r="626" spans="3:8" x14ac:dyDescent="0.25">
      <c r="C626" s="9">
        <f>C19</f>
        <v>-10</v>
      </c>
      <c r="D626" s="10">
        <f>$F$32+$F$33*C626+$F$34*C626*C626+$F$35*C626*C626*C626</f>
        <v>1.409524202469716E-4</v>
      </c>
      <c r="E626" s="9">
        <f>C117</f>
        <v>0</v>
      </c>
      <c r="F626" s="10">
        <f>$F$128+$F$129*E626+$F$130*E626*E626+$F$131*E626*E626*E626</f>
        <v>-0.20194848658088754</v>
      </c>
      <c r="G626" s="9">
        <f>C213</f>
        <v>0</v>
      </c>
      <c r="H626" s="10">
        <f>$F$224+$F$225*G626+$F$226*G626*G626+$F$227*G626*G626*G626</f>
        <v>-1.6783216783218258E-3</v>
      </c>
    </row>
    <row r="627" spans="3:8" x14ac:dyDescent="0.25">
      <c r="C627" s="9">
        <f t="shared" ref="C627:C658" si="24">C626+$D$624</f>
        <v>-9.75</v>
      </c>
      <c r="D627" s="10">
        <f t="shared" ref="D627:D690" si="25">$F$32+$F$33*C627+$F$34*C627*C627+$F$35*C627*C627*C627</f>
        <v>1.5314623276970886E-4</v>
      </c>
      <c r="E627" s="9">
        <f>E626+$F$624</f>
        <v>60</v>
      </c>
      <c r="F627" s="10">
        <f t="shared" ref="F627:F690" si="26">$F$128+$F$129*E627+$F$130*E627*E627+$F$131*E627*E627*E627</f>
        <v>-0.19012909431081698</v>
      </c>
      <c r="G627" s="9">
        <f>G626+$H$624</f>
        <v>10</v>
      </c>
      <c r="H627" s="10">
        <f t="shared" ref="H627:H690" si="27">$F$224+$F$225*G627+$F$226*G627*G627+$F$227*G627*G627*G627</f>
        <v>1.988487762237745E-2</v>
      </c>
    </row>
    <row r="628" spans="3:8" x14ac:dyDescent="0.25">
      <c r="C628" s="9">
        <f t="shared" si="24"/>
        <v>-9.5</v>
      </c>
      <c r="D628" s="10">
        <f t="shared" si="25"/>
        <v>1.6511229036253716E-4</v>
      </c>
      <c r="E628" s="9">
        <f t="shared" ref="E628:E691" si="28">E627+$F$624</f>
        <v>120</v>
      </c>
      <c r="F628" s="10">
        <f t="shared" si="26"/>
        <v>-0.1787133931336064</v>
      </c>
      <c r="G628" s="9">
        <f t="shared" ref="G628:G691" si="29">G627+$H$624</f>
        <v>20</v>
      </c>
      <c r="H628" s="10">
        <f t="shared" si="27"/>
        <v>3.9998135198135006E-2</v>
      </c>
    </row>
    <row r="629" spans="3:8" x14ac:dyDescent="0.25">
      <c r="C629" s="9">
        <f t="shared" si="24"/>
        <v>-9.25</v>
      </c>
      <c r="D629" s="10">
        <f t="shared" si="25"/>
        <v>1.7684616611526123E-4</v>
      </c>
      <c r="E629" s="9">
        <f t="shared" si="28"/>
        <v>180</v>
      </c>
      <c r="F629" s="10">
        <f t="shared" si="26"/>
        <v>-0.16769176996826568</v>
      </c>
      <c r="G629" s="9">
        <f t="shared" si="29"/>
        <v>30</v>
      </c>
      <c r="H629" s="10">
        <f t="shared" si="27"/>
        <v>5.869204545454524E-2</v>
      </c>
    </row>
    <row r="630" spans="3:8" x14ac:dyDescent="0.25">
      <c r="C630" s="9">
        <f t="shared" si="24"/>
        <v>-9</v>
      </c>
      <c r="D630" s="10">
        <f t="shared" si="25"/>
        <v>1.8834343311768578E-4</v>
      </c>
      <c r="E630" s="9">
        <f t="shared" si="28"/>
        <v>240</v>
      </c>
      <c r="F630" s="10">
        <f t="shared" si="26"/>
        <v>-0.15705461173380464</v>
      </c>
      <c r="G630" s="9">
        <f t="shared" si="29"/>
        <v>40</v>
      </c>
      <c r="H630" s="10">
        <f t="shared" si="27"/>
        <v>7.5997202797202568E-2</v>
      </c>
    </row>
    <row r="631" spans="3:8" x14ac:dyDescent="0.25">
      <c r="C631" s="9">
        <f t="shared" si="24"/>
        <v>-8.75</v>
      </c>
      <c r="D631" s="10">
        <f t="shared" si="25"/>
        <v>1.9959966445961543E-4</v>
      </c>
      <c r="E631" s="9">
        <f t="shared" si="28"/>
        <v>300</v>
      </c>
      <c r="F631" s="10">
        <f t="shared" si="26"/>
        <v>-0.14679230534923318</v>
      </c>
      <c r="G631" s="9">
        <f t="shared" si="29"/>
        <v>50</v>
      </c>
      <c r="H631" s="10">
        <f t="shared" si="27"/>
        <v>9.1944201631701403E-2</v>
      </c>
    </row>
    <row r="632" spans="3:8" x14ac:dyDescent="0.25">
      <c r="C632" s="9">
        <f t="shared" si="24"/>
        <v>-8.5</v>
      </c>
      <c r="D632" s="10">
        <f t="shared" si="25"/>
        <v>2.1061043323085507E-4</v>
      </c>
      <c r="E632" s="9">
        <f t="shared" si="28"/>
        <v>360</v>
      </c>
      <c r="F632" s="10">
        <f t="shared" si="26"/>
        <v>-0.1368952377335611</v>
      </c>
      <c r="G632" s="9">
        <f t="shared" si="29"/>
        <v>60</v>
      </c>
      <c r="H632" s="10">
        <f t="shared" si="27"/>
        <v>0.1065636363636361</v>
      </c>
    </row>
    <row r="633" spans="3:8" x14ac:dyDescent="0.25">
      <c r="C633" s="9">
        <f t="shared" si="24"/>
        <v>-8.25</v>
      </c>
      <c r="D633" s="10">
        <f t="shared" si="25"/>
        <v>2.2137131252120937E-4</v>
      </c>
      <c r="E633" s="9">
        <f t="shared" si="28"/>
        <v>420</v>
      </c>
      <c r="F633" s="10">
        <f t="shared" si="26"/>
        <v>-0.12735379580579828</v>
      </c>
      <c r="G633" s="9">
        <f t="shared" si="29"/>
        <v>70</v>
      </c>
      <c r="H633" s="10">
        <f t="shared" si="27"/>
        <v>0.11988610139860113</v>
      </c>
    </row>
    <row r="634" spans="3:8" x14ac:dyDescent="0.25">
      <c r="C634" s="9">
        <f t="shared" si="24"/>
        <v>-8</v>
      </c>
      <c r="D634" s="10">
        <f t="shared" si="25"/>
        <v>2.3187787542048303E-4</v>
      </c>
      <c r="E634" s="9">
        <f t="shared" si="28"/>
        <v>480</v>
      </c>
      <c r="F634" s="10">
        <f t="shared" si="26"/>
        <v>-0.11815836648495458</v>
      </c>
      <c r="G634" s="9">
        <f t="shared" si="29"/>
        <v>80</v>
      </c>
      <c r="H634" s="10">
        <f t="shared" si="27"/>
        <v>0.13194219114219086</v>
      </c>
    </row>
    <row r="635" spans="3:8" x14ac:dyDescent="0.25">
      <c r="C635" s="9">
        <f t="shared" si="24"/>
        <v>-7.75</v>
      </c>
      <c r="D635" s="10">
        <f t="shared" si="25"/>
        <v>2.4212569501848072E-4</v>
      </c>
      <c r="E635" s="9">
        <f t="shared" si="28"/>
        <v>540</v>
      </c>
      <c r="F635" s="10">
        <f t="shared" si="26"/>
        <v>-0.10929933669003984</v>
      </c>
      <c r="G635" s="9">
        <f t="shared" si="29"/>
        <v>90</v>
      </c>
      <c r="H635" s="10">
        <f t="shared" si="27"/>
        <v>0.14276249999999971</v>
      </c>
    </row>
    <row r="636" spans="3:8" x14ac:dyDescent="0.25">
      <c r="C636" s="9">
        <f t="shared" si="24"/>
        <v>-7.5</v>
      </c>
      <c r="D636" s="10">
        <f t="shared" si="25"/>
        <v>2.5211034440500728E-4</v>
      </c>
      <c r="E636" s="9">
        <f t="shared" si="28"/>
        <v>600</v>
      </c>
      <c r="F636" s="10">
        <f t="shared" si="26"/>
        <v>-0.10076709334006388</v>
      </c>
      <c r="G636" s="9">
        <f t="shared" si="29"/>
        <v>100</v>
      </c>
      <c r="H636" s="10">
        <f t="shared" si="27"/>
        <v>0.15237762237762209</v>
      </c>
    </row>
    <row r="637" spans="3:8" x14ac:dyDescent="0.25">
      <c r="C637" s="9">
        <f t="shared" si="24"/>
        <v>-7.25</v>
      </c>
      <c r="D637" s="10">
        <f t="shared" si="25"/>
        <v>2.6182739666986743E-4</v>
      </c>
      <c r="E637" s="9">
        <f t="shared" si="28"/>
        <v>660</v>
      </c>
      <c r="F637" s="10">
        <f t="shared" si="26"/>
        <v>-9.2552023354036603E-2</v>
      </c>
      <c r="G637" s="9">
        <f t="shared" si="29"/>
        <v>110</v>
      </c>
      <c r="H637" s="10">
        <f t="shared" si="27"/>
        <v>0.16081815268065239</v>
      </c>
    </row>
    <row r="638" spans="3:8" x14ac:dyDescent="0.25">
      <c r="C638" s="9">
        <f t="shared" si="24"/>
        <v>-7</v>
      </c>
      <c r="D638" s="10">
        <f t="shared" si="25"/>
        <v>2.7127242490286574E-4</v>
      </c>
      <c r="E638" s="9">
        <f t="shared" si="28"/>
        <v>720</v>
      </c>
      <c r="F638" s="10">
        <f t="shared" si="26"/>
        <v>-8.4644513650967812E-2</v>
      </c>
      <c r="G638" s="9">
        <f t="shared" si="29"/>
        <v>120</v>
      </c>
      <c r="H638" s="10">
        <f t="shared" si="27"/>
        <v>0.16811468531468499</v>
      </c>
    </row>
    <row r="639" spans="3:8" x14ac:dyDescent="0.25">
      <c r="C639" s="9">
        <f t="shared" si="24"/>
        <v>-6.75</v>
      </c>
      <c r="D639" s="10">
        <f t="shared" si="25"/>
        <v>2.8044100219380718E-4</v>
      </c>
      <c r="E639" s="9">
        <f t="shared" si="28"/>
        <v>780</v>
      </c>
      <c r="F639" s="10">
        <f t="shared" si="26"/>
        <v>-7.7034951149867387E-2</v>
      </c>
      <c r="G639" s="9">
        <f t="shared" si="29"/>
        <v>130</v>
      </c>
      <c r="H639" s="10">
        <f t="shared" si="27"/>
        <v>0.17429781468531438</v>
      </c>
    </row>
    <row r="640" spans="3:8" x14ac:dyDescent="0.25">
      <c r="C640" s="9">
        <f t="shared" si="24"/>
        <v>-6.5</v>
      </c>
      <c r="D640" s="10">
        <f t="shared" si="25"/>
        <v>2.8932870163249629E-4</v>
      </c>
      <c r="E640" s="9">
        <f t="shared" si="28"/>
        <v>840</v>
      </c>
      <c r="F640" s="10">
        <f t="shared" si="26"/>
        <v>-6.9713722769745204E-2</v>
      </c>
      <c r="G640" s="9">
        <f t="shared" si="29"/>
        <v>140</v>
      </c>
      <c r="H640" s="10">
        <f t="shared" si="27"/>
        <v>0.17939813519813486</v>
      </c>
    </row>
    <row r="641" spans="3:8" x14ac:dyDescent="0.25">
      <c r="C641" s="9">
        <f t="shared" si="24"/>
        <v>-6.25</v>
      </c>
      <c r="D641" s="10">
        <f t="shared" si="25"/>
        <v>2.9793109630873787E-4</v>
      </c>
      <c r="E641" s="9">
        <f t="shared" si="28"/>
        <v>900</v>
      </c>
      <c r="F641" s="10">
        <f t="shared" si="26"/>
        <v>-6.2671215429611044E-2</v>
      </c>
      <c r="G641" s="9">
        <f t="shared" si="29"/>
        <v>150</v>
      </c>
      <c r="H641" s="10">
        <f t="shared" si="27"/>
        <v>0.18344624125874096</v>
      </c>
    </row>
    <row r="642" spans="3:8" x14ac:dyDescent="0.25">
      <c r="C642" s="9">
        <f t="shared" si="24"/>
        <v>-6</v>
      </c>
      <c r="D642" s="10">
        <f t="shared" si="25"/>
        <v>3.0624375931233668E-4</v>
      </c>
      <c r="E642" s="9">
        <f t="shared" si="28"/>
        <v>960</v>
      </c>
      <c r="F642" s="10">
        <f t="shared" si="26"/>
        <v>-5.5897816048474797E-2</v>
      </c>
      <c r="G642" s="9">
        <f t="shared" si="29"/>
        <v>160</v>
      </c>
      <c r="H642" s="10">
        <f t="shared" si="27"/>
        <v>0.18647272727272693</v>
      </c>
    </row>
    <row r="643" spans="3:8" x14ac:dyDescent="0.25">
      <c r="C643" s="9">
        <f t="shared" si="24"/>
        <v>-5.75</v>
      </c>
      <c r="D643" s="10">
        <f t="shared" si="25"/>
        <v>3.1426226373309737E-4</v>
      </c>
      <c r="E643" s="9">
        <f t="shared" si="28"/>
        <v>1020</v>
      </c>
      <c r="F643" s="10">
        <f t="shared" si="26"/>
        <v>-4.9383911545346354E-2</v>
      </c>
      <c r="G643" s="9">
        <f t="shared" si="29"/>
        <v>170</v>
      </c>
      <c r="H643" s="10">
        <f t="shared" si="27"/>
        <v>0.18850818764568733</v>
      </c>
    </row>
    <row r="644" spans="3:8" x14ac:dyDescent="0.25">
      <c r="C644" s="9">
        <f t="shared" si="24"/>
        <v>-5.5</v>
      </c>
      <c r="D644" s="10">
        <f t="shared" si="25"/>
        <v>3.2198218266082468E-4</v>
      </c>
      <c r="E644" s="9">
        <f t="shared" si="28"/>
        <v>1080</v>
      </c>
      <c r="F644" s="10">
        <f t="shared" si="26"/>
        <v>-4.3119888839235503E-2</v>
      </c>
      <c r="G644" s="9">
        <f t="shared" si="29"/>
        <v>180</v>
      </c>
      <c r="H644" s="10">
        <f t="shared" si="27"/>
        <v>0.18958321678321646</v>
      </c>
    </row>
    <row r="645" spans="3:8" x14ac:dyDescent="0.25">
      <c r="C645" s="9">
        <f t="shared" si="24"/>
        <v>-5.25</v>
      </c>
      <c r="D645" s="10">
        <f t="shared" si="25"/>
        <v>3.2939908918532327E-4</v>
      </c>
      <c r="E645" s="9">
        <f t="shared" si="28"/>
        <v>1140</v>
      </c>
      <c r="F645" s="10">
        <f t="shared" si="26"/>
        <v>-3.7096134849152106E-2</v>
      </c>
      <c r="G645" s="9">
        <f t="shared" si="29"/>
        <v>190</v>
      </c>
      <c r="H645" s="10">
        <f t="shared" si="27"/>
        <v>0.1897284090909088</v>
      </c>
    </row>
    <row r="646" spans="3:8" x14ac:dyDescent="0.25">
      <c r="C646" s="9">
        <f t="shared" si="24"/>
        <v>-5</v>
      </c>
      <c r="D646" s="10">
        <f t="shared" si="25"/>
        <v>3.365085563963981E-4</v>
      </c>
      <c r="E646" s="9">
        <f t="shared" si="28"/>
        <v>1200</v>
      </c>
      <c r="F646" s="10">
        <f t="shared" si="26"/>
        <v>-3.1303036494106054E-2</v>
      </c>
      <c r="G646" s="9">
        <f t="shared" si="29"/>
        <v>200</v>
      </c>
      <c r="H646" s="10">
        <f t="shared" si="27"/>
        <v>0.18897435897435871</v>
      </c>
    </row>
    <row r="647" spans="3:8" x14ac:dyDescent="0.25">
      <c r="C647" s="9">
        <f t="shared" si="24"/>
        <v>-4.75</v>
      </c>
      <c r="D647" s="10">
        <f t="shared" si="25"/>
        <v>3.4330615738385365E-4</v>
      </c>
      <c r="E647" s="9">
        <f t="shared" si="28"/>
        <v>1260</v>
      </c>
      <c r="F647" s="10">
        <f t="shared" si="26"/>
        <v>-2.5730980693107114E-2</v>
      </c>
      <c r="G647" s="9">
        <f t="shared" si="29"/>
        <v>210</v>
      </c>
      <c r="H647" s="10">
        <f t="shared" si="27"/>
        <v>0.18735166083916055</v>
      </c>
    </row>
    <row r="648" spans="3:8" x14ac:dyDescent="0.25">
      <c r="C648" s="9">
        <f t="shared" si="24"/>
        <v>-4.5</v>
      </c>
      <c r="D648" s="10">
        <f t="shared" si="25"/>
        <v>3.4978746523749475E-4</v>
      </c>
      <c r="E648" s="9">
        <f t="shared" si="28"/>
        <v>1320</v>
      </c>
      <c r="F648" s="10">
        <f t="shared" si="26"/>
        <v>-2.0370354365165291E-2</v>
      </c>
      <c r="G648" s="9">
        <f t="shared" si="29"/>
        <v>220</v>
      </c>
      <c r="H648" s="10">
        <f t="shared" si="27"/>
        <v>0.1848909090909088</v>
      </c>
    </row>
    <row r="649" spans="3:8" x14ac:dyDescent="0.25">
      <c r="C649" s="9">
        <f t="shared" si="24"/>
        <v>-4.25</v>
      </c>
      <c r="D649" s="10">
        <f t="shared" si="25"/>
        <v>3.5594805304712613E-4</v>
      </c>
      <c r="E649" s="9">
        <f t="shared" si="28"/>
        <v>1380</v>
      </c>
      <c r="F649" s="10">
        <f t="shared" si="26"/>
        <v>-1.521154442929027E-2</v>
      </c>
      <c r="G649" s="9">
        <f t="shared" si="29"/>
        <v>230</v>
      </c>
      <c r="H649" s="10">
        <f t="shared" si="27"/>
        <v>0.1816226981351978</v>
      </c>
    </row>
    <row r="650" spans="3:8" x14ac:dyDescent="0.25">
      <c r="C650" s="9">
        <f t="shared" si="24"/>
        <v>-4</v>
      </c>
      <c r="D650" s="10">
        <f t="shared" si="25"/>
        <v>3.6178349390255255E-4</v>
      </c>
      <c r="E650" s="9">
        <f t="shared" si="28"/>
        <v>1440</v>
      </c>
      <c r="F650" s="10">
        <f t="shared" si="26"/>
        <v>-1.0244937804491986E-2</v>
      </c>
      <c r="G650" s="9">
        <f t="shared" si="29"/>
        <v>240</v>
      </c>
      <c r="H650" s="10">
        <f t="shared" si="27"/>
        <v>0.17757762237762209</v>
      </c>
    </row>
    <row r="651" spans="3:8" x14ac:dyDescent="0.25">
      <c r="C651" s="9">
        <f t="shared" si="24"/>
        <v>-3.75</v>
      </c>
      <c r="D651" s="10">
        <f t="shared" si="25"/>
        <v>3.6728936089357856E-4</v>
      </c>
      <c r="E651" s="9">
        <f t="shared" si="28"/>
        <v>1500</v>
      </c>
      <c r="F651" s="10">
        <f t="shared" si="26"/>
        <v>-5.4609214097802797E-3</v>
      </c>
      <c r="G651" s="9">
        <f t="shared" si="29"/>
        <v>250</v>
      </c>
      <c r="H651" s="10">
        <f t="shared" si="27"/>
        <v>0.17278627622377596</v>
      </c>
    </row>
    <row r="652" spans="3:8" x14ac:dyDescent="0.25">
      <c r="C652" s="9">
        <f t="shared" si="24"/>
        <v>-3.5</v>
      </c>
      <c r="D652" s="10">
        <f t="shared" si="25"/>
        <v>3.7246122711000911E-4</v>
      </c>
      <c r="E652" s="9">
        <f t="shared" si="28"/>
        <v>1560</v>
      </c>
      <c r="F652" s="10">
        <f t="shared" si="26"/>
        <v>-8.4988216416497994E-4</v>
      </c>
      <c r="G652" s="9">
        <f t="shared" si="29"/>
        <v>260</v>
      </c>
      <c r="H652" s="10">
        <f t="shared" si="27"/>
        <v>0.16727925407925381</v>
      </c>
    </row>
    <row r="653" spans="3:8" x14ac:dyDescent="0.25">
      <c r="C653" s="9">
        <f t="shared" si="24"/>
        <v>-3.25</v>
      </c>
      <c r="D653" s="10">
        <f t="shared" si="25"/>
        <v>3.7729466564164881E-4</v>
      </c>
      <c r="E653" s="9">
        <f t="shared" si="28"/>
        <v>1620</v>
      </c>
      <c r="F653" s="10">
        <f t="shared" si="26"/>
        <v>3.5977930133440361E-3</v>
      </c>
      <c r="G653" s="9">
        <f t="shared" si="29"/>
        <v>270</v>
      </c>
      <c r="H653" s="10">
        <f t="shared" si="27"/>
        <v>0.16108715034965015</v>
      </c>
    </row>
    <row r="654" spans="3:8" x14ac:dyDescent="0.25">
      <c r="C654" s="9">
        <f t="shared" si="24"/>
        <v>-3</v>
      </c>
      <c r="D654" s="10">
        <f t="shared" si="25"/>
        <v>3.8178524957830246E-4</v>
      </c>
      <c r="E654" s="9">
        <f t="shared" si="28"/>
        <v>1680</v>
      </c>
      <c r="F654" s="10">
        <f t="shared" si="26"/>
        <v>7.8917172037368602E-3</v>
      </c>
      <c r="G654" s="9">
        <f t="shared" si="29"/>
        <v>280</v>
      </c>
      <c r="H654" s="10">
        <f t="shared" si="27"/>
        <v>0.15424055944055912</v>
      </c>
    </row>
    <row r="655" spans="3:8" x14ac:dyDescent="0.25">
      <c r="C655" s="9">
        <f t="shared" si="24"/>
        <v>-2.75</v>
      </c>
      <c r="D655" s="10">
        <f t="shared" si="25"/>
        <v>3.859285520097747E-4</v>
      </c>
      <c r="E655" s="9">
        <f t="shared" si="28"/>
        <v>1740</v>
      </c>
      <c r="F655" s="10">
        <f t="shared" si="26"/>
        <v>1.2041503488003771E-2</v>
      </c>
      <c r="G655" s="9">
        <f t="shared" si="29"/>
        <v>290</v>
      </c>
      <c r="H655" s="10">
        <f t="shared" si="27"/>
        <v>0.14677007575757556</v>
      </c>
    </row>
    <row r="656" spans="3:8" x14ac:dyDescent="0.25">
      <c r="C656" s="9">
        <f t="shared" si="24"/>
        <v>-2.5</v>
      </c>
      <c r="D656" s="10">
        <f t="shared" si="25"/>
        <v>3.8972014602587024E-4</v>
      </c>
      <c r="E656" s="9">
        <f t="shared" si="28"/>
        <v>1800</v>
      </c>
      <c r="F656" s="10">
        <f t="shared" si="26"/>
        <v>1.6056764947134872E-2</v>
      </c>
      <c r="G656" s="9">
        <f t="shared" si="29"/>
        <v>300</v>
      </c>
      <c r="H656" s="10">
        <f t="shared" si="27"/>
        <v>0.1387062937062935</v>
      </c>
    </row>
    <row r="657" spans="3:8" x14ac:dyDescent="0.25">
      <c r="C657" s="9">
        <f t="shared" si="24"/>
        <v>-2.25</v>
      </c>
      <c r="D657" s="10">
        <f t="shared" si="25"/>
        <v>3.9315560471639394E-4</v>
      </c>
      <c r="E657" s="9">
        <f t="shared" si="28"/>
        <v>1860</v>
      </c>
      <c r="F657" s="10">
        <f t="shared" si="26"/>
        <v>1.9947114662120277E-2</v>
      </c>
      <c r="G657" s="9">
        <f t="shared" si="29"/>
        <v>310</v>
      </c>
      <c r="H657" s="10">
        <f t="shared" si="27"/>
        <v>0.13007980769230762</v>
      </c>
    </row>
    <row r="658" spans="3:8" x14ac:dyDescent="0.25">
      <c r="C658" s="9">
        <f t="shared" si="24"/>
        <v>-2</v>
      </c>
      <c r="D658" s="10">
        <f t="shared" si="25"/>
        <v>3.9623050117115039E-4</v>
      </c>
      <c r="E658" s="9">
        <f t="shared" si="28"/>
        <v>1920</v>
      </c>
      <c r="F658" s="10">
        <f t="shared" si="26"/>
        <v>2.3722165713950139E-2</v>
      </c>
      <c r="G658" s="9">
        <f t="shared" si="29"/>
        <v>320</v>
      </c>
      <c r="H658" s="10">
        <f t="shared" si="27"/>
        <v>0.12092121212121187</v>
      </c>
    </row>
    <row r="659" spans="3:8" x14ac:dyDescent="0.25">
      <c r="C659" s="9">
        <f t="shared" ref="C659:C690" si="30">C658+$D$624</f>
        <v>-1.75</v>
      </c>
      <c r="D659" s="10">
        <f t="shared" si="25"/>
        <v>3.9894040847994439E-4</v>
      </c>
      <c r="E659" s="9">
        <f t="shared" si="28"/>
        <v>1980</v>
      </c>
      <c r="F659" s="10">
        <f t="shared" si="26"/>
        <v>2.7391531183614599E-2</v>
      </c>
      <c r="G659" s="9">
        <f t="shared" si="29"/>
        <v>330</v>
      </c>
      <c r="H659" s="10">
        <f t="shared" si="27"/>
        <v>0.11126110139860121</v>
      </c>
    </row>
    <row r="660" spans="3:8" x14ac:dyDescent="0.25">
      <c r="C660" s="9">
        <f t="shared" si="30"/>
        <v>-1.5</v>
      </c>
      <c r="D660" s="10">
        <f t="shared" si="25"/>
        <v>4.0128089973258066E-4</v>
      </c>
      <c r="E660" s="9">
        <f t="shared" si="28"/>
        <v>2040</v>
      </c>
      <c r="F660" s="10">
        <f t="shared" si="26"/>
        <v>3.096482415210379E-2</v>
      </c>
      <c r="G660" s="9">
        <f t="shared" si="29"/>
        <v>340</v>
      </c>
      <c r="H660" s="10">
        <f t="shared" si="27"/>
        <v>0.10113006993006979</v>
      </c>
    </row>
    <row r="661" spans="3:8" x14ac:dyDescent="0.25">
      <c r="C661" s="9">
        <f t="shared" si="30"/>
        <v>-1.25</v>
      </c>
      <c r="D661" s="10">
        <f t="shared" si="25"/>
        <v>4.0324754801886387E-4</v>
      </c>
      <c r="E661" s="9">
        <f t="shared" si="28"/>
        <v>2100</v>
      </c>
      <c r="F661" s="10">
        <f t="shared" si="26"/>
        <v>3.4451657700407978E-2</v>
      </c>
      <c r="G661" s="9">
        <f t="shared" si="29"/>
        <v>350</v>
      </c>
      <c r="H661" s="10">
        <f t="shared" si="27"/>
        <v>9.0558712121212054E-2</v>
      </c>
    </row>
    <row r="662" spans="3:8" x14ac:dyDescent="0.25">
      <c r="C662" s="9">
        <f t="shared" si="30"/>
        <v>-1</v>
      </c>
      <c r="D662" s="10">
        <f t="shared" si="25"/>
        <v>4.0483592642859886E-4</v>
      </c>
      <c r="E662" s="9">
        <f t="shared" si="28"/>
        <v>2160</v>
      </c>
      <c r="F662" s="10">
        <f t="shared" si="26"/>
        <v>3.786164490951717E-2</v>
      </c>
      <c r="G662" s="9">
        <f t="shared" si="29"/>
        <v>360</v>
      </c>
      <c r="H662" s="10">
        <f t="shared" si="27"/>
        <v>7.9577622377622226E-2</v>
      </c>
    </row>
    <row r="663" spans="3:8" x14ac:dyDescent="0.25">
      <c r="C663" s="9">
        <f t="shared" si="30"/>
        <v>-0.75</v>
      </c>
      <c r="D663" s="10">
        <f t="shared" si="25"/>
        <v>4.0604160805159025E-4</v>
      </c>
      <c r="E663" s="9">
        <f t="shared" si="28"/>
        <v>2220</v>
      </c>
      <c r="F663" s="10">
        <f t="shared" si="26"/>
        <v>4.120439886042164E-2</v>
      </c>
      <c r="G663" s="9">
        <f t="shared" si="29"/>
        <v>370</v>
      </c>
      <c r="H663" s="10">
        <f t="shared" si="27"/>
        <v>6.8217395104895051E-2</v>
      </c>
    </row>
    <row r="664" spans="3:8" x14ac:dyDescent="0.25">
      <c r="C664" s="9">
        <f t="shared" si="30"/>
        <v>-0.5</v>
      </c>
      <c r="D664" s="10">
        <f t="shared" si="25"/>
        <v>4.0686016597764281E-4</v>
      </c>
      <c r="E664" s="9">
        <f t="shared" si="28"/>
        <v>2280</v>
      </c>
      <c r="F664" s="10">
        <f t="shared" si="26"/>
        <v>4.4489532634111442E-2</v>
      </c>
      <c r="G664" s="9">
        <f t="shared" si="29"/>
        <v>380</v>
      </c>
      <c r="H664" s="10">
        <f t="shared" si="27"/>
        <v>5.6508624708624611E-2</v>
      </c>
    </row>
    <row r="665" spans="3:8" x14ac:dyDescent="0.25">
      <c r="C665" s="9">
        <f t="shared" si="30"/>
        <v>-0.25</v>
      </c>
      <c r="D665" s="10">
        <f t="shared" si="25"/>
        <v>4.0728717329656118E-4</v>
      </c>
      <c r="E665" s="9">
        <f t="shared" si="28"/>
        <v>2340</v>
      </c>
      <c r="F665" s="10">
        <f t="shared" si="26"/>
        <v>4.7726659311576741E-2</v>
      </c>
      <c r="G665" s="9">
        <f t="shared" si="29"/>
        <v>390</v>
      </c>
      <c r="H665" s="10">
        <f t="shared" si="27"/>
        <v>4.4481905594405569E-2</v>
      </c>
    </row>
    <row r="666" spans="3:8" x14ac:dyDescent="0.25">
      <c r="C666" s="9">
        <f t="shared" si="30"/>
        <v>0</v>
      </c>
      <c r="D666" s="10">
        <f t="shared" si="25"/>
        <v>4.0731820309815027E-4</v>
      </c>
      <c r="E666" s="9">
        <f t="shared" si="28"/>
        <v>2400</v>
      </c>
      <c r="F666" s="10">
        <f t="shared" si="26"/>
        <v>5.0925391973807702E-2</v>
      </c>
      <c r="G666" s="9">
        <f t="shared" si="29"/>
        <v>400</v>
      </c>
      <c r="H666" s="10">
        <f t="shared" si="27"/>
        <v>3.2167832167832144E-2</v>
      </c>
    </row>
    <row r="667" spans="3:8" x14ac:dyDescent="0.25">
      <c r="C667" s="9">
        <f t="shared" si="30"/>
        <v>0.25</v>
      </c>
      <c r="D667" s="10">
        <f t="shared" si="25"/>
        <v>4.0694882847221468E-4</v>
      </c>
      <c r="E667" s="9">
        <f t="shared" si="28"/>
        <v>2460</v>
      </c>
      <c r="F667" s="10">
        <f t="shared" si="26"/>
        <v>5.4095343701794502E-2</v>
      </c>
      <c r="G667" s="9">
        <f t="shared" si="29"/>
        <v>410</v>
      </c>
      <c r="H667" s="10">
        <f t="shared" si="27"/>
        <v>1.9596998834498947E-2</v>
      </c>
    </row>
    <row r="668" spans="3:8" x14ac:dyDescent="0.25">
      <c r="C668" s="9">
        <f t="shared" si="30"/>
        <v>0.5</v>
      </c>
      <c r="D668" s="10">
        <f t="shared" si="25"/>
        <v>4.0617462250855911E-4</v>
      </c>
      <c r="E668" s="9">
        <f t="shared" si="28"/>
        <v>2520</v>
      </c>
      <c r="F668" s="10">
        <f t="shared" si="26"/>
        <v>5.724612757652732E-2</v>
      </c>
      <c r="G668" s="9">
        <f t="shared" si="29"/>
        <v>420</v>
      </c>
      <c r="H668" s="10">
        <f t="shared" si="27"/>
        <v>6.8000000000000282E-3</v>
      </c>
    </row>
    <row r="669" spans="3:8" x14ac:dyDescent="0.25">
      <c r="C669" s="9">
        <f t="shared" si="30"/>
        <v>0.75</v>
      </c>
      <c r="D669" s="10">
        <f t="shared" si="25"/>
        <v>4.0499115829698836E-4</v>
      </c>
      <c r="E669" s="9">
        <f t="shared" si="28"/>
        <v>2580</v>
      </c>
      <c r="F669" s="10">
        <f t="shared" si="26"/>
        <v>6.0387356678996029E-2</v>
      </c>
      <c r="G669" s="9">
        <f t="shared" si="29"/>
        <v>430</v>
      </c>
      <c r="H669" s="10">
        <f t="shared" si="27"/>
        <v>-6.1925699300700021E-3</v>
      </c>
    </row>
    <row r="670" spans="3:8" x14ac:dyDescent="0.25">
      <c r="C670" s="9">
        <f t="shared" si="30"/>
        <v>1</v>
      </c>
      <c r="D670" s="10">
        <f t="shared" si="25"/>
        <v>4.033940089273072E-4</v>
      </c>
      <c r="E670" s="9">
        <f t="shared" si="28"/>
        <v>2640</v>
      </c>
      <c r="F670" s="10">
        <f t="shared" si="26"/>
        <v>6.3528644090191128E-2</v>
      </c>
      <c r="G670" s="9">
        <f t="shared" si="29"/>
        <v>440</v>
      </c>
      <c r="H670" s="10">
        <f t="shared" si="27"/>
        <v>-1.9350116550116481E-2</v>
      </c>
    </row>
    <row r="671" spans="3:8" x14ac:dyDescent="0.25">
      <c r="C671" s="9">
        <f t="shared" si="30"/>
        <v>1.25</v>
      </c>
      <c r="D671" s="10">
        <f t="shared" si="25"/>
        <v>4.0137874748932026E-4</v>
      </c>
      <c r="E671" s="9">
        <f t="shared" si="28"/>
        <v>2700</v>
      </c>
      <c r="F671" s="10">
        <f t="shared" si="26"/>
        <v>6.6679602891102668E-2</v>
      </c>
      <c r="G671" s="9">
        <f t="shared" si="29"/>
        <v>450</v>
      </c>
      <c r="H671" s="10">
        <f t="shared" si="27"/>
        <v>-3.2642045454545299E-2</v>
      </c>
    </row>
    <row r="672" spans="3:8" x14ac:dyDescent="0.25">
      <c r="C672" s="9">
        <f t="shared" si="30"/>
        <v>1.5</v>
      </c>
      <c r="D672" s="10">
        <f t="shared" si="25"/>
        <v>3.9894094707283218E-4</v>
      </c>
      <c r="E672" s="9">
        <f t="shared" si="28"/>
        <v>2760</v>
      </c>
      <c r="F672" s="10">
        <f t="shared" si="26"/>
        <v>6.9849846162720719E-2</v>
      </c>
      <c r="G672" s="9">
        <f t="shared" si="29"/>
        <v>460</v>
      </c>
      <c r="H672" s="10">
        <f t="shared" si="27"/>
        <v>-4.6037762237762292E-2</v>
      </c>
    </row>
    <row r="673" spans="3:8" x14ac:dyDescent="0.25">
      <c r="C673" s="9">
        <f t="shared" si="30"/>
        <v>1.75</v>
      </c>
      <c r="D673" s="10">
        <f t="shared" si="25"/>
        <v>3.960761807676479E-4</v>
      </c>
      <c r="E673" s="9">
        <f t="shared" si="28"/>
        <v>2820</v>
      </c>
      <c r="F673" s="10">
        <f t="shared" si="26"/>
        <v>7.3048986986035486E-2</v>
      </c>
      <c r="G673" s="9">
        <f t="shared" si="29"/>
        <v>470</v>
      </c>
      <c r="H673" s="10">
        <f t="shared" si="27"/>
        <v>-5.9506672494172519E-2</v>
      </c>
    </row>
    <row r="674" spans="3:8" x14ac:dyDescent="0.25">
      <c r="C674" s="9">
        <f t="shared" si="30"/>
        <v>2</v>
      </c>
      <c r="D674" s="10">
        <f t="shared" si="25"/>
        <v>3.92780021663572E-4</v>
      </c>
      <c r="E674" s="9">
        <f t="shared" si="28"/>
        <v>2880</v>
      </c>
      <c r="F674" s="10">
        <f t="shared" si="26"/>
        <v>7.6286638442037064E-2</v>
      </c>
      <c r="G674" s="9">
        <f t="shared" si="29"/>
        <v>480</v>
      </c>
      <c r="H674" s="10">
        <f t="shared" si="27"/>
        <v>-7.301818181818176E-2</v>
      </c>
    </row>
    <row r="675" spans="3:8" x14ac:dyDescent="0.25">
      <c r="C675" s="9">
        <f t="shared" si="30"/>
        <v>2.25</v>
      </c>
      <c r="D675" s="10">
        <f t="shared" si="25"/>
        <v>3.8904804285040928E-4</v>
      </c>
      <c r="E675" s="9">
        <f t="shared" si="28"/>
        <v>2940</v>
      </c>
      <c r="F675" s="10">
        <f t="shared" si="26"/>
        <v>7.9572413611715742E-2</v>
      </c>
      <c r="G675" s="9">
        <f t="shared" si="29"/>
        <v>490</v>
      </c>
      <c r="H675" s="10">
        <f t="shared" si="27"/>
        <v>-8.6541695804195684E-2</v>
      </c>
    </row>
    <row r="676" spans="3:8" x14ac:dyDescent="0.25">
      <c r="C676" s="9">
        <f t="shared" si="30"/>
        <v>2.5</v>
      </c>
      <c r="D676" s="10">
        <f t="shared" si="25"/>
        <v>3.8487581741796444E-4</v>
      </c>
      <c r="E676" s="9">
        <f t="shared" si="28"/>
        <v>3000</v>
      </c>
      <c r="F676" s="10">
        <f t="shared" si="26"/>
        <v>8.2915925576061422E-2</v>
      </c>
      <c r="G676" s="9">
        <f t="shared" si="29"/>
        <v>500</v>
      </c>
      <c r="H676" s="10">
        <f t="shared" si="27"/>
        <v>-0.10004662004661991</v>
      </c>
    </row>
    <row r="677" spans="3:8" x14ac:dyDescent="0.25">
      <c r="C677" s="9">
        <f t="shared" si="30"/>
        <v>2.75</v>
      </c>
      <c r="D677" s="10">
        <f t="shared" si="25"/>
        <v>3.8025891845604219E-4</v>
      </c>
      <c r="E677" s="9">
        <f t="shared" si="28"/>
        <v>3060</v>
      </c>
      <c r="F677" s="10">
        <f t="shared" si="26"/>
        <v>8.6326787416064504E-2</v>
      </c>
      <c r="G677" s="9">
        <f t="shared" si="29"/>
        <v>510</v>
      </c>
      <c r="H677" s="10">
        <f t="shared" si="27"/>
        <v>-0.11350236013986004</v>
      </c>
    </row>
    <row r="678" spans="3:8" x14ac:dyDescent="0.25">
      <c r="C678" s="9">
        <f t="shared" si="30"/>
        <v>3</v>
      </c>
      <c r="D678" s="10">
        <f t="shared" si="25"/>
        <v>3.7519291905444729E-4</v>
      </c>
      <c r="E678" s="9">
        <f t="shared" si="28"/>
        <v>3120</v>
      </c>
      <c r="F678" s="10">
        <f t="shared" si="26"/>
        <v>8.9814612212715E-2</v>
      </c>
      <c r="G678" s="9">
        <f t="shared" si="29"/>
        <v>520</v>
      </c>
      <c r="H678" s="10">
        <f t="shared" si="27"/>
        <v>-0.12687832167832147</v>
      </c>
    </row>
    <row r="679" spans="3:8" x14ac:dyDescent="0.25">
      <c r="C679" s="9">
        <f t="shared" si="30"/>
        <v>3.25</v>
      </c>
      <c r="D679" s="10">
        <f t="shared" si="25"/>
        <v>3.6967339230298442E-4</v>
      </c>
      <c r="E679" s="9">
        <f t="shared" si="28"/>
        <v>3180</v>
      </c>
      <c r="F679" s="10">
        <f t="shared" si="26"/>
        <v>9.3389013047003006E-2</v>
      </c>
      <c r="G679" s="9">
        <f t="shared" si="29"/>
        <v>530</v>
      </c>
      <c r="H679" s="10">
        <f t="shared" si="27"/>
        <v>-0.14014391025641015</v>
      </c>
    </row>
    <row r="680" spans="3:8" x14ac:dyDescent="0.25">
      <c r="C680" s="9">
        <f t="shared" si="30"/>
        <v>3.5</v>
      </c>
      <c r="D680" s="10">
        <f t="shared" si="25"/>
        <v>3.6369591129145834E-4</v>
      </c>
      <c r="E680" s="9">
        <f t="shared" si="28"/>
        <v>3240</v>
      </c>
      <c r="F680" s="10">
        <f t="shared" si="26"/>
        <v>9.7059602999918948E-2</v>
      </c>
      <c r="G680" s="9">
        <f t="shared" si="29"/>
        <v>540</v>
      </c>
      <c r="H680" s="10">
        <f t="shared" si="27"/>
        <v>-0.15326853146853114</v>
      </c>
    </row>
    <row r="681" spans="3:8" x14ac:dyDescent="0.25">
      <c r="C681" s="9">
        <f t="shared" si="30"/>
        <v>3.75</v>
      </c>
      <c r="D681" s="10">
        <f t="shared" si="25"/>
        <v>3.5725604910967387E-4</v>
      </c>
      <c r="E681" s="9">
        <f t="shared" si="28"/>
        <v>3300</v>
      </c>
      <c r="F681" s="10">
        <f t="shared" si="26"/>
        <v>0.10083599515245262</v>
      </c>
      <c r="G681" s="9">
        <f t="shared" si="29"/>
        <v>550</v>
      </c>
      <c r="H681" s="10">
        <f t="shared" si="27"/>
        <v>-0.16622159090909083</v>
      </c>
    </row>
    <row r="682" spans="3:8" x14ac:dyDescent="0.25">
      <c r="C682" s="9">
        <f t="shared" si="30"/>
        <v>4</v>
      </c>
      <c r="D682" s="10">
        <f t="shared" si="25"/>
        <v>3.5034937884743548E-4</v>
      </c>
      <c r="E682" s="9">
        <f t="shared" si="28"/>
        <v>3360</v>
      </c>
      <c r="F682" s="10">
        <f t="shared" si="26"/>
        <v>0.10472780258559433</v>
      </c>
      <c r="G682" s="9">
        <f t="shared" si="29"/>
        <v>560</v>
      </c>
      <c r="H682" s="10">
        <f t="shared" si="27"/>
        <v>-0.17897249417249439</v>
      </c>
    </row>
    <row r="683" spans="3:8" x14ac:dyDescent="0.25">
      <c r="C683" s="9">
        <f t="shared" si="30"/>
        <v>4.25</v>
      </c>
      <c r="D683" s="10">
        <f t="shared" si="25"/>
        <v>3.4297147359454815E-4</v>
      </c>
      <c r="E683" s="9">
        <f t="shared" si="28"/>
        <v>3420</v>
      </c>
      <c r="F683" s="10">
        <f t="shared" si="26"/>
        <v>0.10874463838033438</v>
      </c>
      <c r="G683" s="9">
        <f t="shared" si="29"/>
        <v>570</v>
      </c>
      <c r="H683" s="10">
        <f t="shared" si="27"/>
        <v>-0.19149064685314687</v>
      </c>
    </row>
    <row r="684" spans="3:8" x14ac:dyDescent="0.25">
      <c r="C684" s="9">
        <f t="shared" si="30"/>
        <v>4.5</v>
      </c>
      <c r="D684" s="10">
        <f t="shared" si="25"/>
        <v>3.3511790644081651E-4</v>
      </c>
      <c r="E684" s="9">
        <f t="shared" si="28"/>
        <v>3480</v>
      </c>
      <c r="F684" s="10">
        <f t="shared" si="26"/>
        <v>0.11289611561766261</v>
      </c>
      <c r="G684" s="9">
        <f t="shared" si="29"/>
        <v>580</v>
      </c>
      <c r="H684" s="10">
        <f t="shared" si="27"/>
        <v>-0.20374545454545434</v>
      </c>
    </row>
    <row r="685" spans="3:8" x14ac:dyDescent="0.25">
      <c r="C685" s="9">
        <f t="shared" si="30"/>
        <v>4.75</v>
      </c>
      <c r="D685" s="10">
        <f t="shared" si="25"/>
        <v>3.2678425047604523E-4</v>
      </c>
      <c r="E685" s="9">
        <f t="shared" si="28"/>
        <v>3540</v>
      </c>
      <c r="F685" s="10">
        <f t="shared" si="26"/>
        <v>0.11719184737856941</v>
      </c>
      <c r="G685" s="9">
        <f t="shared" si="29"/>
        <v>590</v>
      </c>
      <c r="H685" s="10">
        <f t="shared" si="27"/>
        <v>-0.21570632284382252</v>
      </c>
    </row>
    <row r="686" spans="3:8" x14ac:dyDescent="0.25">
      <c r="C686" s="9">
        <f t="shared" si="30"/>
        <v>5</v>
      </c>
      <c r="D686" s="10">
        <f t="shared" si="25"/>
        <v>3.1796607879003915E-4</v>
      </c>
      <c r="E686" s="9">
        <f t="shared" si="28"/>
        <v>3600</v>
      </c>
      <c r="F686" s="10">
        <f t="shared" si="26"/>
        <v>0.12164144674404498</v>
      </c>
      <c r="G686" s="9">
        <f t="shared" si="29"/>
        <v>600</v>
      </c>
      <c r="H686" s="10">
        <f t="shared" si="27"/>
        <v>-0.22734265734265713</v>
      </c>
    </row>
    <row r="687" spans="3:8" x14ac:dyDescent="0.25">
      <c r="C687" s="9">
        <f t="shared" si="30"/>
        <v>5.25</v>
      </c>
      <c r="D687" s="10">
        <f t="shared" si="25"/>
        <v>3.0865896447260287E-4</v>
      </c>
      <c r="E687" s="9">
        <f t="shared" si="28"/>
        <v>3660</v>
      </c>
      <c r="F687" s="10">
        <f t="shared" si="26"/>
        <v>0.12625452679507915</v>
      </c>
      <c r="G687" s="9">
        <f t="shared" si="29"/>
        <v>610</v>
      </c>
      <c r="H687" s="10">
        <f t="shared" si="27"/>
        <v>-0.23862386363636379</v>
      </c>
    </row>
    <row r="688" spans="3:8" x14ac:dyDescent="0.25">
      <c r="C688" s="9">
        <f t="shared" si="30"/>
        <v>5.5</v>
      </c>
      <c r="D688" s="10">
        <f t="shared" si="25"/>
        <v>2.988584806135412E-4</v>
      </c>
      <c r="E688" s="9">
        <f t="shared" si="28"/>
        <v>3720</v>
      </c>
      <c r="F688" s="10">
        <f t="shared" si="26"/>
        <v>0.13104070061266238</v>
      </c>
      <c r="G688" s="9">
        <f t="shared" si="29"/>
        <v>620</v>
      </c>
      <c r="H688" s="10">
        <f t="shared" si="27"/>
        <v>-0.24951934731934666</v>
      </c>
    </row>
    <row r="689" spans="3:8" x14ac:dyDescent="0.25">
      <c r="C689" s="9">
        <f t="shared" si="30"/>
        <v>5.75</v>
      </c>
      <c r="D689" s="10">
        <f t="shared" si="25"/>
        <v>2.8856020030265889E-4</v>
      </c>
      <c r="E689" s="9">
        <f t="shared" si="28"/>
        <v>3780</v>
      </c>
      <c r="F689" s="10">
        <f t="shared" si="26"/>
        <v>0.13600958127778451</v>
      </c>
      <c r="G689" s="9">
        <f t="shared" si="29"/>
        <v>630</v>
      </c>
      <c r="H689" s="10">
        <f t="shared" si="27"/>
        <v>-0.25999851398601348</v>
      </c>
    </row>
    <row r="690" spans="3:8" x14ac:dyDescent="0.25">
      <c r="C690" s="9">
        <f t="shared" si="30"/>
        <v>6</v>
      </c>
      <c r="D690" s="10">
        <f t="shared" si="25"/>
        <v>2.7775969662976069E-4</v>
      </c>
      <c r="E690" s="9">
        <f t="shared" si="28"/>
        <v>3840</v>
      </c>
      <c r="F690" s="10">
        <f t="shared" si="26"/>
        <v>0.14117078187143606</v>
      </c>
      <c r="G690" s="9">
        <f t="shared" si="29"/>
        <v>640</v>
      </c>
      <c r="H690" s="10">
        <f t="shared" si="27"/>
        <v>-0.27003076923076907</v>
      </c>
    </row>
    <row r="691" spans="3:8" x14ac:dyDescent="0.25">
      <c r="C691" s="9">
        <f t="shared" ref="C691:C726" si="31">C690+$D$624</f>
        <v>6.25</v>
      </c>
      <c r="D691" s="10">
        <f t="shared" ref="D691:D726" si="32">$F$32+$F$33*C691+$F$34*C691*C691+$F$35*C691*C691*C691</f>
        <v>2.6645254268465115E-4</v>
      </c>
      <c r="E691" s="9">
        <f t="shared" si="28"/>
        <v>3900</v>
      </c>
      <c r="F691" s="10">
        <f t="shared" ref="F691:F726" si="33">$F$128+$F$129*E691+$F$130*E691*E691+$F$131*E691*E691*E691</f>
        <v>0.1465339154746067</v>
      </c>
      <c r="G691" s="9">
        <f t="shared" si="29"/>
        <v>650</v>
      </c>
      <c r="H691" s="10">
        <f t="shared" ref="H691:H726" si="34">$F$224+$F$225*G691+$F$226*G691*G691+$F$227*G691*G691*G691</f>
        <v>-0.27958551864801806</v>
      </c>
    </row>
    <row r="692" spans="3:8" x14ac:dyDescent="0.25">
      <c r="C692" s="9">
        <f t="shared" si="31"/>
        <v>6.5</v>
      </c>
      <c r="D692" s="10">
        <f t="shared" si="32"/>
        <v>2.5463431155713513E-4</v>
      </c>
      <c r="E692" s="9">
        <f t="shared" ref="E692:E726" si="35">E691+$F$624</f>
        <v>3960</v>
      </c>
      <c r="F692" s="10">
        <f t="shared" si="33"/>
        <v>0.15210859516828718</v>
      </c>
      <c r="G692" s="9">
        <f t="shared" ref="G692:G726" si="36">G691+$H$624</f>
        <v>660</v>
      </c>
      <c r="H692" s="10">
        <f t="shared" si="34"/>
        <v>-0.2886321678321675</v>
      </c>
    </row>
    <row r="693" spans="3:8" x14ac:dyDescent="0.25">
      <c r="C693" s="9">
        <f t="shared" si="31"/>
        <v>6.75</v>
      </c>
      <c r="D693" s="10">
        <f t="shared" si="32"/>
        <v>2.4230057633701737E-4</v>
      </c>
      <c r="E693" s="9">
        <f t="shared" si="35"/>
        <v>4020</v>
      </c>
      <c r="F693" s="10">
        <f t="shared" si="33"/>
        <v>0.15790443403346716</v>
      </c>
      <c r="G693" s="9">
        <f t="shared" si="36"/>
        <v>670</v>
      </c>
      <c r="H693" s="10">
        <f t="shared" si="34"/>
        <v>-0.29714012237762244</v>
      </c>
    </row>
    <row r="694" spans="3:8" x14ac:dyDescent="0.25">
      <c r="C694" s="9">
        <f t="shared" si="31"/>
        <v>7</v>
      </c>
      <c r="D694" s="10">
        <f t="shared" si="32"/>
        <v>2.2944691011410256E-4</v>
      </c>
      <c r="E694" s="9">
        <f t="shared" si="35"/>
        <v>4080</v>
      </c>
      <c r="F694" s="10">
        <f t="shared" si="33"/>
        <v>0.16393104515113688</v>
      </c>
      <c r="G694" s="9">
        <f t="shared" si="36"/>
        <v>680</v>
      </c>
      <c r="H694" s="10">
        <f t="shared" si="34"/>
        <v>-0.30507878787878751</v>
      </c>
    </row>
    <row r="695" spans="3:8" x14ac:dyDescent="0.25">
      <c r="C695" s="9">
        <f t="shared" si="31"/>
        <v>7.25</v>
      </c>
      <c r="D695" s="10">
        <f t="shared" si="32"/>
        <v>2.1606888597819541E-4</v>
      </c>
      <c r="E695" s="9">
        <f t="shared" si="35"/>
        <v>4140</v>
      </c>
      <c r="F695" s="10">
        <f t="shared" si="33"/>
        <v>0.17019804160228702</v>
      </c>
      <c r="G695" s="9">
        <f t="shared" si="36"/>
        <v>690</v>
      </c>
      <c r="H695" s="10">
        <f t="shared" si="34"/>
        <v>-0.31241756993006997</v>
      </c>
    </row>
    <row r="696" spans="3:8" x14ac:dyDescent="0.25">
      <c r="C696" s="9">
        <f t="shared" si="31"/>
        <v>7.5</v>
      </c>
      <c r="D696" s="10">
        <f t="shared" si="32"/>
        <v>2.0216207701910069E-4</v>
      </c>
      <c r="E696" s="9">
        <f t="shared" si="35"/>
        <v>4200</v>
      </c>
      <c r="F696" s="10">
        <f t="shared" si="33"/>
        <v>0.17671503646790687</v>
      </c>
      <c r="G696" s="9">
        <f t="shared" si="36"/>
        <v>700</v>
      </c>
      <c r="H696" s="10">
        <f t="shared" si="34"/>
        <v>-0.31912587412587334</v>
      </c>
    </row>
    <row r="697" spans="3:8" x14ac:dyDescent="0.25">
      <c r="C697" s="9">
        <f t="shared" si="31"/>
        <v>7.75</v>
      </c>
      <c r="D697" s="10">
        <f t="shared" si="32"/>
        <v>1.8772205632662311E-4</v>
      </c>
      <c r="E697" s="9">
        <f t="shared" si="35"/>
        <v>4260</v>
      </c>
      <c r="F697" s="10">
        <f t="shared" si="33"/>
        <v>0.18349164282898722</v>
      </c>
      <c r="G697" s="9">
        <f t="shared" si="36"/>
        <v>710</v>
      </c>
      <c r="H697" s="10">
        <f t="shared" si="34"/>
        <v>-0.32517310606060579</v>
      </c>
    </row>
    <row r="698" spans="3:8" x14ac:dyDescent="0.25">
      <c r="C698" s="9">
        <f t="shared" si="31"/>
        <v>8</v>
      </c>
      <c r="D698" s="10">
        <f t="shared" si="32"/>
        <v>1.7274439699056733E-4</v>
      </c>
      <c r="E698" s="9">
        <f t="shared" si="35"/>
        <v>4320</v>
      </c>
      <c r="F698" s="10">
        <f t="shared" si="33"/>
        <v>0.19053747376651764</v>
      </c>
      <c r="G698" s="9">
        <f t="shared" si="36"/>
        <v>720</v>
      </c>
      <c r="H698" s="10">
        <f t="shared" si="34"/>
        <v>-0.33052867132867103</v>
      </c>
    </row>
    <row r="699" spans="3:8" x14ac:dyDescent="0.25">
      <c r="C699" s="9">
        <f t="shared" si="31"/>
        <v>8.25</v>
      </c>
      <c r="D699" s="10">
        <f t="shared" si="32"/>
        <v>1.5722467210073821E-4</v>
      </c>
      <c r="E699" s="9">
        <f t="shared" si="35"/>
        <v>4380</v>
      </c>
      <c r="F699" s="10">
        <f t="shared" si="33"/>
        <v>0.19786214236148936</v>
      </c>
      <c r="G699" s="9">
        <f t="shared" si="36"/>
        <v>730</v>
      </c>
      <c r="H699" s="10">
        <f t="shared" si="34"/>
        <v>-0.3351619755244748</v>
      </c>
    </row>
    <row r="700" spans="3:8" x14ac:dyDescent="0.25">
      <c r="C700" s="9">
        <f t="shared" si="31"/>
        <v>8.5</v>
      </c>
      <c r="D700" s="10">
        <f t="shared" si="32"/>
        <v>1.4115845474694036E-4</v>
      </c>
      <c r="E700" s="9">
        <f t="shared" si="35"/>
        <v>4440</v>
      </c>
      <c r="F700" s="10">
        <f t="shared" si="33"/>
        <v>0.20547526169489105</v>
      </c>
      <c r="G700" s="9">
        <f t="shared" si="36"/>
        <v>740</v>
      </c>
      <c r="H700" s="10">
        <f t="shared" si="34"/>
        <v>-0.33904242424242392</v>
      </c>
    </row>
    <row r="701" spans="3:8" x14ac:dyDescent="0.25">
      <c r="C701" s="9">
        <f t="shared" si="31"/>
        <v>8.75</v>
      </c>
      <c r="D701" s="10">
        <f t="shared" si="32"/>
        <v>1.245413180189786E-4</v>
      </c>
      <c r="E701" s="9">
        <f t="shared" si="35"/>
        <v>4500</v>
      </c>
      <c r="F701" s="10">
        <f t="shared" si="33"/>
        <v>0.21338644484771407</v>
      </c>
      <c r="G701" s="9">
        <f t="shared" si="36"/>
        <v>750</v>
      </c>
      <c r="H701" s="10">
        <f t="shared" si="34"/>
        <v>-0.3421394230769228</v>
      </c>
    </row>
    <row r="702" spans="3:8" x14ac:dyDescent="0.25">
      <c r="C702" s="9">
        <f t="shared" si="31"/>
        <v>9</v>
      </c>
      <c r="D702" s="10">
        <f t="shared" si="32"/>
        <v>1.0736883500665753E-4</v>
      </c>
      <c r="E702" s="9">
        <f t="shared" si="35"/>
        <v>4560</v>
      </c>
      <c r="F702" s="10">
        <f t="shared" si="33"/>
        <v>0.22160530490094776</v>
      </c>
      <c r="G702" s="9">
        <f t="shared" si="36"/>
        <v>760</v>
      </c>
      <c r="H702" s="10">
        <f t="shared" si="34"/>
        <v>-0.3444223776223776</v>
      </c>
    </row>
    <row r="703" spans="3:8" x14ac:dyDescent="0.25">
      <c r="C703" s="9">
        <f t="shared" si="31"/>
        <v>9.25</v>
      </c>
      <c r="D703" s="10">
        <f t="shared" si="32"/>
        <v>8.9636578799781995E-5</v>
      </c>
      <c r="E703" s="9">
        <f t="shared" si="35"/>
        <v>4620</v>
      </c>
      <c r="F703" s="10">
        <f t="shared" si="33"/>
        <v>0.23014145493558325</v>
      </c>
      <c r="G703" s="9">
        <f t="shared" si="36"/>
        <v>770</v>
      </c>
      <c r="H703" s="10">
        <f t="shared" si="34"/>
        <v>-0.34586069347319315</v>
      </c>
    </row>
    <row r="704" spans="3:8" x14ac:dyDescent="0.25">
      <c r="C704" s="9">
        <f t="shared" si="31"/>
        <v>9.5</v>
      </c>
      <c r="D704" s="10">
        <f t="shared" si="32"/>
        <v>7.1340122488156639E-5</v>
      </c>
      <c r="E704" s="9">
        <f t="shared" si="35"/>
        <v>4680</v>
      </c>
      <c r="F704" s="10">
        <f t="shared" si="33"/>
        <v>0.23900450803260909</v>
      </c>
      <c r="G704" s="9">
        <f t="shared" si="36"/>
        <v>780</v>
      </c>
      <c r="H704" s="10">
        <f t="shared" si="34"/>
        <v>-0.34642377622377563</v>
      </c>
    </row>
    <row r="705" spans="3:8" x14ac:dyDescent="0.25">
      <c r="C705" s="9">
        <f t="shared" si="31"/>
        <v>9.75</v>
      </c>
      <c r="D705" s="10">
        <f t="shared" si="32"/>
        <v>5.2475039161586234E-5</v>
      </c>
      <c r="E705" s="9">
        <f t="shared" si="35"/>
        <v>4740</v>
      </c>
      <c r="F705" s="10">
        <f t="shared" si="33"/>
        <v>0.24820407727301719</v>
      </c>
      <c r="G705" s="9">
        <f t="shared" si="36"/>
        <v>790</v>
      </c>
      <c r="H705" s="10">
        <f t="shared" si="34"/>
        <v>-0.3460810314685312</v>
      </c>
    </row>
    <row r="706" spans="3:8" x14ac:dyDescent="0.25">
      <c r="C706" s="9">
        <f t="shared" si="31"/>
        <v>10</v>
      </c>
      <c r="D706" s="10">
        <f t="shared" si="32"/>
        <v>3.3036901909875546E-5</v>
      </c>
      <c r="E706" s="9">
        <f t="shared" si="35"/>
        <v>4800</v>
      </c>
      <c r="F706" s="10">
        <f t="shared" si="33"/>
        <v>0.25774977573779656</v>
      </c>
      <c r="G706" s="9">
        <f t="shared" si="36"/>
        <v>800</v>
      </c>
      <c r="H706" s="10">
        <f t="shared" si="34"/>
        <v>-0.3448018648018647</v>
      </c>
    </row>
    <row r="707" spans="3:8" x14ac:dyDescent="0.25">
      <c r="C707" s="9">
        <f t="shared" si="31"/>
        <v>10.25</v>
      </c>
      <c r="D707" s="10">
        <f t="shared" si="32"/>
        <v>1.3021283822829256E-5</v>
      </c>
      <c r="E707" s="9">
        <f t="shared" si="35"/>
        <v>4860</v>
      </c>
      <c r="F707" s="10">
        <f t="shared" si="33"/>
        <v>0.26765121650793788</v>
      </c>
      <c r="G707" s="9">
        <f t="shared" si="36"/>
        <v>810</v>
      </c>
      <c r="H707" s="10">
        <f t="shared" si="34"/>
        <v>-0.34255568181818097</v>
      </c>
    </row>
    <row r="708" spans="3:8" x14ac:dyDescent="0.25">
      <c r="C708" s="9">
        <f t="shared" si="31"/>
        <v>10.5</v>
      </c>
      <c r="D708" s="10">
        <f t="shared" si="32"/>
        <v>-7.5762420097479994E-6</v>
      </c>
      <c r="E708" s="9">
        <f t="shared" si="35"/>
        <v>4920</v>
      </c>
      <c r="F708" s="10">
        <f t="shared" si="33"/>
        <v>0.27791801266443095</v>
      </c>
      <c r="G708" s="9">
        <f t="shared" si="36"/>
        <v>820</v>
      </c>
      <c r="H708" s="10">
        <f t="shared" si="34"/>
        <v>-0.33931188811188751</v>
      </c>
    </row>
    <row r="709" spans="3:8" x14ac:dyDescent="0.25">
      <c r="C709" s="9">
        <f t="shared" si="31"/>
        <v>10.75</v>
      </c>
      <c r="D709" s="10">
        <f t="shared" si="32"/>
        <v>-2.876010249805137E-5</v>
      </c>
      <c r="E709" s="9">
        <f t="shared" si="35"/>
        <v>4980</v>
      </c>
      <c r="F709" s="10">
        <f t="shared" si="33"/>
        <v>0.28855977728826609</v>
      </c>
      <c r="G709" s="9">
        <f t="shared" si="36"/>
        <v>830</v>
      </c>
      <c r="H709" s="10">
        <f t="shared" si="34"/>
        <v>-0.3350398892773887</v>
      </c>
    </row>
    <row r="710" spans="3:8" x14ac:dyDescent="0.25">
      <c r="C710" s="9">
        <f t="shared" si="31"/>
        <v>11</v>
      </c>
      <c r="D710" s="10">
        <f t="shared" si="32"/>
        <v>-5.0534724552276102E-5</v>
      </c>
      <c r="E710" s="9">
        <f t="shared" si="35"/>
        <v>5040</v>
      </c>
      <c r="F710" s="10">
        <f t="shared" si="33"/>
        <v>0.29958612346043367</v>
      </c>
      <c r="G710" s="9">
        <f t="shared" si="36"/>
        <v>840</v>
      </c>
      <c r="H710" s="10">
        <f t="shared" si="34"/>
        <v>-0.32970909090909029</v>
      </c>
    </row>
    <row r="711" spans="3:8" x14ac:dyDescent="0.25">
      <c r="C711" s="9">
        <f t="shared" si="31"/>
        <v>11.25</v>
      </c>
      <c r="D711" s="10">
        <f t="shared" si="32"/>
        <v>-7.2904535082617475E-5</v>
      </c>
      <c r="E711" s="9">
        <f t="shared" si="35"/>
        <v>5100</v>
      </c>
      <c r="F711" s="10">
        <f t="shared" si="33"/>
        <v>0.31100666426192336</v>
      </c>
      <c r="G711" s="9">
        <f t="shared" si="36"/>
        <v>850</v>
      </c>
      <c r="H711" s="10">
        <f t="shared" si="34"/>
        <v>-0.32328889860139887</v>
      </c>
    </row>
    <row r="712" spans="3:8" x14ac:dyDescent="0.25">
      <c r="C712" s="9">
        <f t="shared" si="31"/>
        <v>11.5</v>
      </c>
      <c r="D712" s="10">
        <f t="shared" si="32"/>
        <v>-9.5873960999270973E-5</v>
      </c>
      <c r="E712" s="9">
        <f t="shared" si="35"/>
        <v>5160</v>
      </c>
      <c r="F712" s="10">
        <f t="shared" si="33"/>
        <v>0.32283101277372528</v>
      </c>
      <c r="G712" s="9">
        <f t="shared" si="36"/>
        <v>860</v>
      </c>
      <c r="H712" s="10">
        <f t="shared" si="34"/>
        <v>-0.31574871794871795</v>
      </c>
    </row>
    <row r="713" spans="3:8" x14ac:dyDescent="0.25">
      <c r="C713" s="9">
        <f t="shared" si="31"/>
        <v>11.75</v>
      </c>
      <c r="D713" s="10">
        <f t="shared" si="32"/>
        <v>-1.1944742921243168E-4</v>
      </c>
      <c r="E713" s="9">
        <f t="shared" si="35"/>
        <v>5220</v>
      </c>
      <c r="F713" s="10">
        <f t="shared" si="33"/>
        <v>0.33506878207683011</v>
      </c>
      <c r="G713" s="9">
        <f t="shared" si="36"/>
        <v>870</v>
      </c>
      <c r="H713" s="10">
        <f t="shared" si="34"/>
        <v>-0.30705795454545415</v>
      </c>
    </row>
    <row r="714" spans="3:8" x14ac:dyDescent="0.25">
      <c r="C714" s="9">
        <f t="shared" si="31"/>
        <v>12</v>
      </c>
      <c r="D714" s="10">
        <f t="shared" si="32"/>
        <v>-1.4362936663229485E-4</v>
      </c>
      <c r="E714" s="9">
        <f t="shared" si="35"/>
        <v>5280</v>
      </c>
      <c r="F714" s="10">
        <f t="shared" si="33"/>
        <v>0.34772958525222797</v>
      </c>
      <c r="G714" s="9">
        <f t="shared" si="36"/>
        <v>880</v>
      </c>
      <c r="H714" s="10">
        <f t="shared" si="34"/>
        <v>-0.29718601398601363</v>
      </c>
    </row>
    <row r="715" spans="3:8" x14ac:dyDescent="0.25">
      <c r="C715" s="9">
        <f t="shared" si="31"/>
        <v>12.25</v>
      </c>
      <c r="D715" s="10">
        <f t="shared" si="32"/>
        <v>-1.6842420016905592E-4</v>
      </c>
      <c r="E715" s="9">
        <f t="shared" si="35"/>
        <v>5340</v>
      </c>
      <c r="F715" s="10">
        <f t="shared" si="33"/>
        <v>0.36082303538090876</v>
      </c>
      <c r="G715" s="9">
        <f t="shared" si="36"/>
        <v>890</v>
      </c>
      <c r="H715" s="10">
        <f t="shared" si="34"/>
        <v>-0.28610230186480123</v>
      </c>
    </row>
    <row r="716" spans="3:8" x14ac:dyDescent="0.25">
      <c r="C716" s="9">
        <f t="shared" si="31"/>
        <v>12.5</v>
      </c>
      <c r="D716" s="10">
        <f t="shared" si="32"/>
        <v>-1.9383635673290994E-4</v>
      </c>
      <c r="E716" s="9">
        <f t="shared" si="35"/>
        <v>5400</v>
      </c>
      <c r="F716" s="10">
        <f t="shared" si="33"/>
        <v>0.37435874554386261</v>
      </c>
      <c r="G716" s="9">
        <f t="shared" si="36"/>
        <v>900</v>
      </c>
      <c r="H716" s="10">
        <f t="shared" si="34"/>
        <v>-0.27377622377622313</v>
      </c>
    </row>
    <row r="717" spans="3:8" x14ac:dyDescent="0.25">
      <c r="C717" s="9">
        <f t="shared" si="31"/>
        <v>12.75</v>
      </c>
      <c r="D717" s="10">
        <f t="shared" si="32"/>
        <v>-2.1987026323405233E-4</v>
      </c>
      <c r="E717" s="9">
        <f t="shared" si="35"/>
        <v>5460</v>
      </c>
      <c r="F717" s="10">
        <f t="shared" si="33"/>
        <v>0.38834632882207964</v>
      </c>
      <c r="G717" s="9">
        <f t="shared" si="36"/>
        <v>910</v>
      </c>
      <c r="H717" s="10">
        <f t="shared" si="34"/>
        <v>-0.26017718531468637</v>
      </c>
    </row>
    <row r="718" spans="3:8" x14ac:dyDescent="0.25">
      <c r="C718" s="9">
        <f t="shared" si="31"/>
        <v>13</v>
      </c>
      <c r="D718" s="10">
        <f t="shared" si="32"/>
        <v>-2.4653034658267837E-4</v>
      </c>
      <c r="E718" s="9">
        <f t="shared" si="35"/>
        <v>5520</v>
      </c>
      <c r="F718" s="10">
        <f t="shared" si="33"/>
        <v>0.40279539829654998</v>
      </c>
      <c r="G718" s="9">
        <f t="shared" si="36"/>
        <v>920</v>
      </c>
      <c r="H718" s="10">
        <f t="shared" si="34"/>
        <v>-0.24527459207459179</v>
      </c>
    </row>
    <row r="719" spans="3:8" x14ac:dyDescent="0.25">
      <c r="C719" s="9">
        <f t="shared" si="31"/>
        <v>13.25</v>
      </c>
      <c r="D719" s="10">
        <f t="shared" si="32"/>
        <v>-2.7382103368898329E-4</v>
      </c>
      <c r="E719" s="9">
        <f t="shared" si="35"/>
        <v>5580</v>
      </c>
      <c r="F719" s="10">
        <f t="shared" si="33"/>
        <v>0.41771556704826396</v>
      </c>
      <c r="G719" s="9">
        <f t="shared" si="36"/>
        <v>930</v>
      </c>
      <c r="H719" s="10">
        <f t="shared" si="34"/>
        <v>-0.22903784965034912</v>
      </c>
    </row>
    <row r="720" spans="3:8" x14ac:dyDescent="0.25">
      <c r="C720" s="9">
        <f t="shared" si="31"/>
        <v>13.5</v>
      </c>
      <c r="D720" s="10">
        <f t="shared" si="32"/>
        <v>-3.0174675146316246E-4</v>
      </c>
      <c r="E720" s="9">
        <f t="shared" si="35"/>
        <v>5640</v>
      </c>
      <c r="F720" s="10">
        <f t="shared" si="33"/>
        <v>0.43311644815821171</v>
      </c>
      <c r="G720" s="9">
        <f t="shared" si="36"/>
        <v>940</v>
      </c>
      <c r="H720" s="10">
        <f t="shared" si="34"/>
        <v>-0.21143636363636364</v>
      </c>
    </row>
    <row r="721" spans="3:18" x14ac:dyDescent="0.25">
      <c r="C721" s="9">
        <f t="shared" si="31"/>
        <v>13.75</v>
      </c>
      <c r="D721" s="10">
        <f t="shared" si="32"/>
        <v>-3.3031192681541089E-4</v>
      </c>
      <c r="E721" s="9">
        <f t="shared" si="35"/>
        <v>5700</v>
      </c>
      <c r="F721" s="10">
        <f t="shared" si="33"/>
        <v>0.44900765470738313</v>
      </c>
      <c r="G721" s="9">
        <f t="shared" si="36"/>
        <v>950</v>
      </c>
      <c r="H721" s="10">
        <f t="shared" si="34"/>
        <v>-0.1924395396270393</v>
      </c>
    </row>
    <row r="722" spans="3:18" x14ac:dyDescent="0.25">
      <c r="C722" s="9">
        <f t="shared" si="31"/>
        <v>14</v>
      </c>
      <c r="D722" s="10">
        <f t="shared" si="32"/>
        <v>-3.5952098665592423E-4</v>
      </c>
      <c r="E722" s="9">
        <f t="shared" si="35"/>
        <v>5760</v>
      </c>
      <c r="F722" s="10">
        <f t="shared" si="33"/>
        <v>0.46539879977676857</v>
      </c>
      <c r="G722" s="9">
        <f t="shared" si="36"/>
        <v>960</v>
      </c>
      <c r="H722" s="10">
        <f t="shared" si="34"/>
        <v>-0.17201678321678315</v>
      </c>
    </row>
    <row r="723" spans="3:18" x14ac:dyDescent="0.25">
      <c r="C723" s="9">
        <f t="shared" si="31"/>
        <v>14.25</v>
      </c>
      <c r="D723" s="10">
        <f t="shared" si="32"/>
        <v>-3.8937835789489732E-4</v>
      </c>
      <c r="E723" s="9">
        <f t="shared" si="35"/>
        <v>5820</v>
      </c>
      <c r="F723" s="10">
        <f t="shared" si="33"/>
        <v>0.48229949644735837</v>
      </c>
      <c r="G723" s="9">
        <f t="shared" si="36"/>
        <v>970</v>
      </c>
      <c r="H723" s="10">
        <f t="shared" si="34"/>
        <v>-0.15013750000000137</v>
      </c>
    </row>
    <row r="724" spans="3:18" x14ac:dyDescent="0.25">
      <c r="C724" s="9">
        <f t="shared" si="31"/>
        <v>14.5</v>
      </c>
      <c r="D724" s="10">
        <f t="shared" si="32"/>
        <v>-4.198884674425257E-4</v>
      </c>
      <c r="E724" s="9">
        <f t="shared" si="35"/>
        <v>5880</v>
      </c>
      <c r="F724" s="10">
        <f t="shared" si="33"/>
        <v>0.49971935780014265</v>
      </c>
      <c r="G724" s="9">
        <f t="shared" si="36"/>
        <v>980</v>
      </c>
      <c r="H724" s="10">
        <f t="shared" si="34"/>
        <v>-0.12677109557109567</v>
      </c>
    </row>
    <row r="725" spans="3:18" x14ac:dyDescent="0.25">
      <c r="C725" s="9">
        <f t="shared" si="31"/>
        <v>14.75</v>
      </c>
      <c r="D725" s="10">
        <f t="shared" si="32"/>
        <v>-4.5105574220900472E-4</v>
      </c>
      <c r="E725" s="9">
        <f t="shared" si="35"/>
        <v>5940</v>
      </c>
      <c r="F725" s="10">
        <f t="shared" si="33"/>
        <v>0.51766799691611087</v>
      </c>
      <c r="G725" s="9">
        <f t="shared" si="36"/>
        <v>990</v>
      </c>
      <c r="H725" s="10">
        <f t="shared" si="34"/>
        <v>-0.10188697552447579</v>
      </c>
    </row>
    <row r="726" spans="3:18" ht="15.75" thickBot="1" x14ac:dyDescent="0.3">
      <c r="C726" s="11">
        <f t="shared" si="31"/>
        <v>15</v>
      </c>
      <c r="D726" s="12">
        <f t="shared" si="32"/>
        <v>-4.8288460910452956E-4</v>
      </c>
      <c r="E726" s="11">
        <f t="shared" si="35"/>
        <v>6000</v>
      </c>
      <c r="F726" s="12">
        <f t="shared" si="33"/>
        <v>0.53615502687625383</v>
      </c>
      <c r="G726" s="11">
        <f t="shared" si="36"/>
        <v>1000</v>
      </c>
      <c r="H726" s="12">
        <f t="shared" si="34"/>
        <v>-7.5454545454546107E-2</v>
      </c>
    </row>
    <row r="727" spans="3:18" ht="15.75" thickBot="1" x14ac:dyDescent="0.3"/>
    <row r="728" spans="3:18" ht="14.45" customHeight="1" x14ac:dyDescent="0.25">
      <c r="C728" s="566" t="s">
        <v>98</v>
      </c>
      <c r="D728" s="567"/>
      <c r="E728" s="566" t="s">
        <v>99</v>
      </c>
      <c r="F728" s="567"/>
      <c r="G728" s="566" t="s">
        <v>419</v>
      </c>
      <c r="H728" s="567"/>
      <c r="I728" s="566" t="s">
        <v>420</v>
      </c>
      <c r="J728" s="567"/>
      <c r="K728" s="566" t="s">
        <v>101</v>
      </c>
      <c r="L728" s="567"/>
      <c r="M728" s="566" t="s">
        <v>102</v>
      </c>
      <c r="N728" s="567"/>
      <c r="O728" s="566" t="s">
        <v>475</v>
      </c>
      <c r="P728" s="567"/>
      <c r="Q728" s="566" t="s">
        <v>476</v>
      </c>
      <c r="R728" s="567"/>
    </row>
    <row r="729" spans="3:18" x14ac:dyDescent="0.25">
      <c r="C729" s="568"/>
      <c r="D729" s="569"/>
      <c r="E729" s="568"/>
      <c r="F729" s="569"/>
      <c r="G729" s="568"/>
      <c r="H729" s="569"/>
      <c r="I729" s="568"/>
      <c r="J729" s="569"/>
      <c r="K729" s="568"/>
      <c r="L729" s="569"/>
      <c r="M729" s="568"/>
      <c r="N729" s="569"/>
      <c r="O729" s="568"/>
      <c r="P729" s="569"/>
      <c r="Q729" s="568"/>
      <c r="R729" s="569"/>
    </row>
    <row r="730" spans="3:18" x14ac:dyDescent="0.25">
      <c r="C730" s="15" t="s">
        <v>73</v>
      </c>
      <c r="D730" s="8">
        <f>(MAX(C414:C417)-MIN(C414:C417))/100</f>
        <v>0.23599999999999999</v>
      </c>
      <c r="E730" s="15" t="s">
        <v>73</v>
      </c>
      <c r="F730" s="8">
        <f>(MAX(J414:J417)-MIN(J414:J417))/100</f>
        <v>0.35400000000000004</v>
      </c>
      <c r="G730" s="15" t="s">
        <v>73</v>
      </c>
      <c r="H730" s="8">
        <f>(MAX(C460:C462)-MIN(C460:C462))/100</f>
        <v>0.23600000000000002</v>
      </c>
      <c r="I730" s="15" t="s">
        <v>73</v>
      </c>
      <c r="J730" s="8">
        <f>(MAX(J460:J462)-MIN(J460:J462))/100</f>
        <v>0.56000000000000005</v>
      </c>
      <c r="K730" s="15" t="s">
        <v>73</v>
      </c>
      <c r="L730" s="8">
        <f>(MAX(C505:C507)-MIN(C505:C507))/100</f>
        <v>0.23300000000000004</v>
      </c>
      <c r="M730" s="15" t="s">
        <v>73</v>
      </c>
      <c r="N730" s="8">
        <f>(MAX(J505:J507)-MIN(J505:J507))/100</f>
        <v>0.59699999999999998</v>
      </c>
      <c r="O730" s="15" t="s">
        <v>73</v>
      </c>
      <c r="P730" s="8">
        <f>(MAX(C550:C552)-MIN(C550:C552))/100</f>
        <v>0.24200000000000002</v>
      </c>
      <c r="Q730" s="15" t="s">
        <v>73</v>
      </c>
      <c r="R730" s="8">
        <f>(MAX(J550:J552)-MIN(J550:J552))/100</f>
        <v>0.57999999999999996</v>
      </c>
    </row>
    <row r="731" spans="3:18" x14ac:dyDescent="0.25">
      <c r="C731" s="13" t="s">
        <v>75</v>
      </c>
      <c r="D731" s="14" t="s">
        <v>76</v>
      </c>
      <c r="E731" s="13" t="s">
        <v>96</v>
      </c>
      <c r="F731" s="14" t="s">
        <v>97</v>
      </c>
      <c r="G731" s="13" t="s">
        <v>75</v>
      </c>
      <c r="H731" s="14" t="s">
        <v>76</v>
      </c>
      <c r="I731" s="13" t="s">
        <v>96</v>
      </c>
      <c r="J731" s="14" t="s">
        <v>97</v>
      </c>
      <c r="K731" s="13" t="s">
        <v>75</v>
      </c>
      <c r="L731" s="14" t="s">
        <v>76</v>
      </c>
      <c r="M731" s="13" t="s">
        <v>96</v>
      </c>
      <c r="N731" s="14" t="s">
        <v>97</v>
      </c>
      <c r="O731" s="13" t="s">
        <v>75</v>
      </c>
      <c r="P731" s="14" t="s">
        <v>76</v>
      </c>
      <c r="Q731" s="13" t="s">
        <v>96</v>
      </c>
      <c r="R731" s="14" t="s">
        <v>97</v>
      </c>
    </row>
    <row r="732" spans="3:18" x14ac:dyDescent="0.25">
      <c r="C732" s="9">
        <f>C414</f>
        <v>15.3</v>
      </c>
      <c r="D732" s="10">
        <f>$F$418+$F$419*C732</f>
        <v>-2.8580885395118161E-2</v>
      </c>
      <c r="E732" s="9">
        <f>J414</f>
        <v>39.799999999999997</v>
      </c>
      <c r="F732" s="10">
        <f>$M$418+$M$419*E732</f>
        <v>-10.104124889687514</v>
      </c>
      <c r="G732" s="9">
        <f>C460</f>
        <v>15</v>
      </c>
      <c r="H732" s="10">
        <f>$F$463+$F$464*G732</f>
        <v>0.63770054484987126</v>
      </c>
      <c r="I732" s="9">
        <f>J460</f>
        <v>21</v>
      </c>
      <c r="J732" s="10">
        <f>$M$463+$M$464*I732</f>
        <v>-0.45000000000000062</v>
      </c>
      <c r="K732" s="9">
        <f>C505</f>
        <v>15.9</v>
      </c>
      <c r="L732" s="10">
        <f>$F$508+$F$509*K732</f>
        <v>-5.616063462975901E-2</v>
      </c>
      <c r="M732" s="9">
        <f>J505</f>
        <v>25.2</v>
      </c>
      <c r="N732" s="10">
        <f>$M$508+$M$509*M732</f>
        <v>-4.8722593330517325</v>
      </c>
      <c r="O732" s="9">
        <f>C550</f>
        <v>15.5</v>
      </c>
      <c r="P732" s="10">
        <f t="shared" ref="P732:P763" si="37">$F$553+$F$554*O732</f>
        <v>5.2350934703641383E-2</v>
      </c>
      <c r="Q732" s="9">
        <f>J550</f>
        <v>25</v>
      </c>
      <c r="R732" s="10">
        <f t="shared" ref="R732:R763" si="38">$M$553+$M$554*Q732</f>
        <v>-1.5237397420867522</v>
      </c>
    </row>
    <row r="733" spans="3:18" x14ac:dyDescent="0.25">
      <c r="C733" s="9">
        <f t="shared" ref="C733:C764" si="39">C732+$D$730</f>
        <v>15.536000000000001</v>
      </c>
      <c r="D733" s="10">
        <f t="shared" ref="D733:D796" si="40">$F$418+$F$419*C733</f>
        <v>-1.5767852709971164E-2</v>
      </c>
      <c r="E733" s="9">
        <f t="shared" ref="E733:E764" si="41">E732+$F$730</f>
        <v>40.153999999999996</v>
      </c>
      <c r="F733" s="10">
        <f t="shared" ref="F733:F796" si="42">$M$418+$M$419*E733</f>
        <v>-10.057412818577159</v>
      </c>
      <c r="G733" s="9">
        <f t="shared" ref="G733:G764" si="43">G732+$H$730</f>
        <v>15.236000000000001</v>
      </c>
      <c r="H733" s="10">
        <f t="shared" ref="H733:H796" si="44">$F$463+$F$464*G733</f>
        <v>0.64291183810175223</v>
      </c>
      <c r="I733" s="9">
        <f t="shared" ref="I733:I764" si="45">I732+$J$730</f>
        <v>21.56</v>
      </c>
      <c r="J733" s="10">
        <f t="shared" ref="J733:J796" si="46">$M$463+$M$464*I733</f>
        <v>-0.4150000000000007</v>
      </c>
      <c r="K733" s="9">
        <f t="shared" ref="K733:K764" si="47">K732+$L$730</f>
        <v>16.132999999999999</v>
      </c>
      <c r="L733" s="10">
        <f t="shared" ref="L733:L796" si="48">$F$508+$F$509*K733</f>
        <v>-5.0731290237021609E-2</v>
      </c>
      <c r="M733" s="9">
        <f t="shared" ref="M733:M764" si="49">M732+$N$730</f>
        <v>25.797000000000001</v>
      </c>
      <c r="N733" s="10">
        <f t="shared" ref="N733:N796" si="50">$M$508+$M$509*M733</f>
        <v>-4.8767415696946372</v>
      </c>
      <c r="O733" s="9">
        <f t="shared" ref="O733:O764" si="51">O732+$P$730</f>
        <v>15.742000000000001</v>
      </c>
      <c r="P733" s="10">
        <f t="shared" si="37"/>
        <v>5.1335186497740784E-2</v>
      </c>
      <c r="Q733" s="9">
        <f t="shared" ref="Q733:Q764" si="52">Q732+$R$730</f>
        <v>25.58</v>
      </c>
      <c r="R733" s="10">
        <f t="shared" si="38"/>
        <v>-1.5232297772567405</v>
      </c>
    </row>
    <row r="734" spans="3:18" x14ac:dyDescent="0.25">
      <c r="C734" s="9">
        <f t="shared" si="39"/>
        <v>15.772000000000002</v>
      </c>
      <c r="D734" s="10">
        <f t="shared" si="40"/>
        <v>-2.9548200248242784E-3</v>
      </c>
      <c r="E734" s="9">
        <f t="shared" si="41"/>
        <v>40.507999999999996</v>
      </c>
      <c r="F734" s="10">
        <f t="shared" si="42"/>
        <v>-10.010700747466803</v>
      </c>
      <c r="G734" s="9">
        <f t="shared" si="43"/>
        <v>15.472000000000001</v>
      </c>
      <c r="H734" s="10">
        <f t="shared" si="44"/>
        <v>0.64812313135363331</v>
      </c>
      <c r="I734" s="9">
        <f t="shared" si="45"/>
        <v>22.119999999999997</v>
      </c>
      <c r="J734" s="10">
        <f t="shared" si="46"/>
        <v>-0.38000000000000078</v>
      </c>
      <c r="K734" s="9">
        <f t="shared" si="47"/>
        <v>16.366</v>
      </c>
      <c r="L734" s="10">
        <f t="shared" si="48"/>
        <v>-4.5301945844284153E-2</v>
      </c>
      <c r="M734" s="9">
        <f t="shared" si="49"/>
        <v>26.394000000000002</v>
      </c>
      <c r="N734" s="10">
        <f t="shared" si="50"/>
        <v>-4.8812238063375428</v>
      </c>
      <c r="O734" s="9">
        <f t="shared" si="51"/>
        <v>15.984000000000002</v>
      </c>
      <c r="P734" s="10">
        <f t="shared" si="37"/>
        <v>5.0319438291840199E-2</v>
      </c>
      <c r="Q734" s="9">
        <f t="shared" si="52"/>
        <v>26.159999999999997</v>
      </c>
      <c r="R734" s="10">
        <f t="shared" si="38"/>
        <v>-1.5227198124267289</v>
      </c>
    </row>
    <row r="735" spans="3:18" x14ac:dyDescent="0.25">
      <c r="C735" s="9">
        <f t="shared" si="39"/>
        <v>16.008000000000003</v>
      </c>
      <c r="D735" s="10">
        <f t="shared" si="40"/>
        <v>9.8582126603226072E-3</v>
      </c>
      <c r="E735" s="9">
        <f t="shared" si="41"/>
        <v>40.861999999999995</v>
      </c>
      <c r="F735" s="10">
        <f t="shared" si="42"/>
        <v>-9.9639886763564487</v>
      </c>
      <c r="G735" s="9">
        <f t="shared" si="43"/>
        <v>15.708000000000002</v>
      </c>
      <c r="H735" s="10">
        <f t="shared" si="44"/>
        <v>0.65333442460551439</v>
      </c>
      <c r="I735" s="9">
        <f t="shared" si="45"/>
        <v>22.679999999999996</v>
      </c>
      <c r="J735" s="10">
        <f t="shared" si="46"/>
        <v>-0.34500000000000086</v>
      </c>
      <c r="K735" s="9">
        <f t="shared" si="47"/>
        <v>16.599</v>
      </c>
      <c r="L735" s="10">
        <f t="shared" si="48"/>
        <v>-3.9872601451546696E-2</v>
      </c>
      <c r="M735" s="9">
        <f t="shared" si="49"/>
        <v>26.991000000000003</v>
      </c>
      <c r="N735" s="10">
        <f t="shared" si="50"/>
        <v>-4.8857060429804475</v>
      </c>
      <c r="O735" s="9">
        <f t="shared" si="51"/>
        <v>16.226000000000003</v>
      </c>
      <c r="P735" s="10">
        <f t="shared" si="37"/>
        <v>4.93036900859396E-2</v>
      </c>
      <c r="Q735" s="9">
        <f t="shared" si="52"/>
        <v>26.739999999999995</v>
      </c>
      <c r="R735" s="10">
        <f t="shared" si="38"/>
        <v>-1.5222098475967172</v>
      </c>
    </row>
    <row r="736" spans="3:18" x14ac:dyDescent="0.25">
      <c r="C736" s="9">
        <f t="shared" si="39"/>
        <v>16.244000000000003</v>
      </c>
      <c r="D736" s="10">
        <f t="shared" si="40"/>
        <v>2.2671245345469493E-2</v>
      </c>
      <c r="E736" s="9">
        <f t="shared" si="41"/>
        <v>41.215999999999994</v>
      </c>
      <c r="F736" s="10">
        <f t="shared" si="42"/>
        <v>-9.9172766052460943</v>
      </c>
      <c r="G736" s="9">
        <f t="shared" si="43"/>
        <v>15.944000000000003</v>
      </c>
      <c r="H736" s="10">
        <f t="shared" si="44"/>
        <v>0.65854571785739546</v>
      </c>
      <c r="I736" s="9">
        <f t="shared" si="45"/>
        <v>23.239999999999995</v>
      </c>
      <c r="J736" s="10">
        <f t="shared" si="46"/>
        <v>-0.31000000000000094</v>
      </c>
      <c r="K736" s="9">
        <f t="shared" si="47"/>
        <v>16.832000000000001</v>
      </c>
      <c r="L736" s="10">
        <f t="shared" si="48"/>
        <v>-3.444325705880924E-2</v>
      </c>
      <c r="M736" s="9">
        <f t="shared" si="49"/>
        <v>27.588000000000005</v>
      </c>
      <c r="N736" s="10">
        <f t="shared" si="50"/>
        <v>-4.8901882796233522</v>
      </c>
      <c r="O736" s="9">
        <f t="shared" si="51"/>
        <v>16.468000000000004</v>
      </c>
      <c r="P736" s="10">
        <f t="shared" si="37"/>
        <v>4.8287941880039001E-2</v>
      </c>
      <c r="Q736" s="9">
        <f t="shared" si="52"/>
        <v>27.319999999999993</v>
      </c>
      <c r="R736" s="10">
        <f t="shared" si="38"/>
        <v>-1.5216998827667054</v>
      </c>
    </row>
    <row r="737" spans="3:18" x14ac:dyDescent="0.25">
      <c r="C737" s="9">
        <f t="shared" si="39"/>
        <v>16.480000000000004</v>
      </c>
      <c r="D737" s="10">
        <f t="shared" si="40"/>
        <v>3.548427803061649E-2</v>
      </c>
      <c r="E737" s="9">
        <f t="shared" si="41"/>
        <v>41.569999999999993</v>
      </c>
      <c r="F737" s="10">
        <f t="shared" si="42"/>
        <v>-9.8705645341357382</v>
      </c>
      <c r="G737" s="9">
        <f t="shared" si="43"/>
        <v>16.180000000000003</v>
      </c>
      <c r="H737" s="10">
        <f t="shared" si="44"/>
        <v>0.66375701110927654</v>
      </c>
      <c r="I737" s="9">
        <f t="shared" si="45"/>
        <v>23.799999999999994</v>
      </c>
      <c r="J737" s="10">
        <f t="shared" si="46"/>
        <v>-0.27500000000000102</v>
      </c>
      <c r="K737" s="9">
        <f t="shared" si="47"/>
        <v>17.065000000000001</v>
      </c>
      <c r="L737" s="10">
        <f t="shared" si="48"/>
        <v>-2.9013912666071784E-2</v>
      </c>
      <c r="M737" s="9">
        <f t="shared" si="49"/>
        <v>28.185000000000006</v>
      </c>
      <c r="N737" s="10">
        <f t="shared" si="50"/>
        <v>-4.8946705162662569</v>
      </c>
      <c r="O737" s="9">
        <f t="shared" si="51"/>
        <v>16.710000000000004</v>
      </c>
      <c r="P737" s="10">
        <f t="shared" si="37"/>
        <v>4.7272193674138402E-2</v>
      </c>
      <c r="Q737" s="9">
        <f t="shared" si="52"/>
        <v>27.899999999999991</v>
      </c>
      <c r="R737" s="10">
        <f t="shared" si="38"/>
        <v>-1.5211899179366937</v>
      </c>
    </row>
    <row r="738" spans="3:18" x14ac:dyDescent="0.25">
      <c r="C738" s="9">
        <f t="shared" si="39"/>
        <v>16.716000000000005</v>
      </c>
      <c r="D738" s="10">
        <f t="shared" si="40"/>
        <v>4.8297310715763375E-2</v>
      </c>
      <c r="E738" s="9">
        <f t="shared" si="41"/>
        <v>41.923999999999992</v>
      </c>
      <c r="F738" s="10">
        <f t="shared" si="42"/>
        <v>-9.8238524630253838</v>
      </c>
      <c r="G738" s="9">
        <f t="shared" si="43"/>
        <v>16.416000000000004</v>
      </c>
      <c r="H738" s="10">
        <f t="shared" si="44"/>
        <v>0.66896830436115751</v>
      </c>
      <c r="I738" s="9">
        <f t="shared" si="45"/>
        <v>24.359999999999992</v>
      </c>
      <c r="J738" s="10">
        <f t="shared" si="46"/>
        <v>-0.24000000000000088</v>
      </c>
      <c r="K738" s="9">
        <f t="shared" si="47"/>
        <v>17.298000000000002</v>
      </c>
      <c r="L738" s="10">
        <f t="shared" si="48"/>
        <v>-2.3584568273334328E-2</v>
      </c>
      <c r="M738" s="9">
        <f t="shared" si="49"/>
        <v>28.782000000000007</v>
      </c>
      <c r="N738" s="10">
        <f t="shared" si="50"/>
        <v>-4.8991527529091625</v>
      </c>
      <c r="O738" s="9">
        <f t="shared" si="51"/>
        <v>16.952000000000005</v>
      </c>
      <c r="P738" s="10">
        <f t="shared" si="37"/>
        <v>4.6256445468237803E-2</v>
      </c>
      <c r="Q738" s="9">
        <f t="shared" si="52"/>
        <v>28.47999999999999</v>
      </c>
      <c r="R738" s="10">
        <f t="shared" si="38"/>
        <v>-1.5206799531066819</v>
      </c>
    </row>
    <row r="739" spans="3:18" x14ac:dyDescent="0.25">
      <c r="C739" s="9">
        <f t="shared" si="39"/>
        <v>16.952000000000005</v>
      </c>
      <c r="D739" s="10">
        <f t="shared" si="40"/>
        <v>6.1110343400910261E-2</v>
      </c>
      <c r="E739" s="9">
        <f t="shared" si="41"/>
        <v>42.277999999999992</v>
      </c>
      <c r="F739" s="10">
        <f t="shared" si="42"/>
        <v>-9.7771403919150295</v>
      </c>
      <c r="G739" s="9">
        <f t="shared" si="43"/>
        <v>16.652000000000005</v>
      </c>
      <c r="H739" s="10">
        <f t="shared" si="44"/>
        <v>0.67417959761303858</v>
      </c>
      <c r="I739" s="9">
        <f t="shared" si="45"/>
        <v>24.919999999999991</v>
      </c>
      <c r="J739" s="10">
        <f t="shared" si="46"/>
        <v>-0.20500000000000096</v>
      </c>
      <c r="K739" s="9">
        <f t="shared" si="47"/>
        <v>17.531000000000002</v>
      </c>
      <c r="L739" s="10">
        <f t="shared" si="48"/>
        <v>-1.8155223880596871E-2</v>
      </c>
      <c r="M739" s="9">
        <f t="shared" si="49"/>
        <v>29.379000000000008</v>
      </c>
      <c r="N739" s="10">
        <f t="shared" si="50"/>
        <v>-4.9036349895520672</v>
      </c>
      <c r="O739" s="9">
        <f t="shared" si="51"/>
        <v>17.194000000000006</v>
      </c>
      <c r="P739" s="10">
        <f t="shared" si="37"/>
        <v>4.5240697262337204E-2</v>
      </c>
      <c r="Q739" s="9">
        <f t="shared" si="52"/>
        <v>29.059999999999988</v>
      </c>
      <c r="R739" s="10">
        <f t="shared" si="38"/>
        <v>-1.5201699882766704</v>
      </c>
    </row>
    <row r="740" spans="3:18" x14ac:dyDescent="0.25">
      <c r="C740" s="9">
        <f t="shared" si="39"/>
        <v>17.188000000000006</v>
      </c>
      <c r="D740" s="10">
        <f t="shared" si="40"/>
        <v>7.3923376086057146E-2</v>
      </c>
      <c r="E740" s="9">
        <f t="shared" si="41"/>
        <v>42.631999999999991</v>
      </c>
      <c r="F740" s="10">
        <f t="shared" si="42"/>
        <v>-9.7304283208046733</v>
      </c>
      <c r="G740" s="9">
        <f t="shared" si="43"/>
        <v>16.888000000000005</v>
      </c>
      <c r="H740" s="10">
        <f t="shared" si="44"/>
        <v>0.67939089086491955</v>
      </c>
      <c r="I740" s="9">
        <f t="shared" si="45"/>
        <v>25.47999999999999</v>
      </c>
      <c r="J740" s="10">
        <f t="shared" si="46"/>
        <v>-0.17000000000000104</v>
      </c>
      <c r="K740" s="9">
        <f t="shared" si="47"/>
        <v>17.764000000000003</v>
      </c>
      <c r="L740" s="10">
        <f t="shared" si="48"/>
        <v>-1.2725879487859415E-2</v>
      </c>
      <c r="M740" s="9">
        <f t="shared" si="49"/>
        <v>29.97600000000001</v>
      </c>
      <c r="N740" s="10">
        <f t="shared" si="50"/>
        <v>-4.9081172261949719</v>
      </c>
      <c r="O740" s="9">
        <f t="shared" si="51"/>
        <v>17.436000000000007</v>
      </c>
      <c r="P740" s="10">
        <f t="shared" si="37"/>
        <v>4.4224949056436605E-2</v>
      </c>
      <c r="Q740" s="9">
        <f t="shared" si="52"/>
        <v>29.639999999999986</v>
      </c>
      <c r="R740" s="10">
        <f t="shared" si="38"/>
        <v>-1.5196600234466586</v>
      </c>
    </row>
    <row r="741" spans="3:18" x14ac:dyDescent="0.25">
      <c r="C741" s="9">
        <f t="shared" si="39"/>
        <v>17.424000000000007</v>
      </c>
      <c r="D741" s="10">
        <f t="shared" si="40"/>
        <v>8.6736408771204143E-2</v>
      </c>
      <c r="E741" s="9">
        <f t="shared" si="41"/>
        <v>42.98599999999999</v>
      </c>
      <c r="F741" s="10">
        <f t="shared" si="42"/>
        <v>-9.683716249694319</v>
      </c>
      <c r="G741" s="9">
        <f t="shared" si="43"/>
        <v>17.124000000000006</v>
      </c>
      <c r="H741" s="10">
        <f t="shared" si="44"/>
        <v>0.68460218411680063</v>
      </c>
      <c r="I741" s="9">
        <f t="shared" si="45"/>
        <v>26.039999999999988</v>
      </c>
      <c r="J741" s="10">
        <f t="shared" si="46"/>
        <v>-0.13500000000000112</v>
      </c>
      <c r="K741" s="9">
        <f t="shared" si="47"/>
        <v>17.997000000000003</v>
      </c>
      <c r="L741" s="10">
        <f t="shared" si="48"/>
        <v>-7.2965350951219587E-3</v>
      </c>
      <c r="M741" s="9">
        <f t="shared" si="49"/>
        <v>30.573000000000011</v>
      </c>
      <c r="N741" s="10">
        <f t="shared" si="50"/>
        <v>-4.9125994628378766</v>
      </c>
      <c r="O741" s="9">
        <f t="shared" si="51"/>
        <v>17.678000000000008</v>
      </c>
      <c r="P741" s="10">
        <f t="shared" si="37"/>
        <v>4.3209200850536006E-2</v>
      </c>
      <c r="Q741" s="9">
        <f t="shared" si="52"/>
        <v>30.219999999999985</v>
      </c>
      <c r="R741" s="10">
        <f t="shared" si="38"/>
        <v>-1.5191500586166469</v>
      </c>
    </row>
    <row r="742" spans="3:18" x14ac:dyDescent="0.25">
      <c r="C742" s="9">
        <f t="shared" si="39"/>
        <v>17.660000000000007</v>
      </c>
      <c r="D742" s="10">
        <f t="shared" si="40"/>
        <v>9.9549441456351029E-2</v>
      </c>
      <c r="E742" s="9">
        <f t="shared" si="41"/>
        <v>43.339999999999989</v>
      </c>
      <c r="F742" s="10">
        <f t="shared" si="42"/>
        <v>-9.6370041785839646</v>
      </c>
      <c r="G742" s="9">
        <f t="shared" si="43"/>
        <v>17.360000000000007</v>
      </c>
      <c r="H742" s="10">
        <f t="shared" si="44"/>
        <v>0.6898134773686817</v>
      </c>
      <c r="I742" s="9">
        <f t="shared" si="45"/>
        <v>26.599999999999987</v>
      </c>
      <c r="J742" s="10">
        <f t="shared" si="46"/>
        <v>-0.1000000000000012</v>
      </c>
      <c r="K742" s="9">
        <f t="shared" si="47"/>
        <v>18.230000000000004</v>
      </c>
      <c r="L742" s="10">
        <f t="shared" si="48"/>
        <v>-1.8671907023845025E-3</v>
      </c>
      <c r="M742" s="9">
        <f t="shared" si="49"/>
        <v>31.170000000000012</v>
      </c>
      <c r="N742" s="10">
        <f t="shared" si="50"/>
        <v>-4.9170816994807822</v>
      </c>
      <c r="O742" s="9">
        <f t="shared" si="51"/>
        <v>17.920000000000009</v>
      </c>
      <c r="P742" s="10">
        <f t="shared" si="37"/>
        <v>4.2193452644635421E-2</v>
      </c>
      <c r="Q742" s="9">
        <f t="shared" si="52"/>
        <v>30.799999999999983</v>
      </c>
      <c r="R742" s="10">
        <f t="shared" si="38"/>
        <v>-1.5186400937866351</v>
      </c>
    </row>
    <row r="743" spans="3:18" x14ac:dyDescent="0.25">
      <c r="C743" s="9">
        <f t="shared" si="39"/>
        <v>17.896000000000008</v>
      </c>
      <c r="D743" s="10">
        <f t="shared" si="40"/>
        <v>0.11236247414149791</v>
      </c>
      <c r="E743" s="9">
        <f t="shared" si="41"/>
        <v>43.693999999999988</v>
      </c>
      <c r="F743" s="10">
        <f t="shared" si="42"/>
        <v>-9.5902921074736085</v>
      </c>
      <c r="G743" s="9">
        <f t="shared" si="43"/>
        <v>17.596000000000007</v>
      </c>
      <c r="H743" s="10">
        <f t="shared" si="44"/>
        <v>0.69502477062056278</v>
      </c>
      <c r="I743" s="9">
        <f t="shared" si="45"/>
        <v>27.159999999999986</v>
      </c>
      <c r="J743" s="10">
        <f t="shared" si="46"/>
        <v>-6.5000000000001279E-2</v>
      </c>
      <c r="K743" s="9">
        <f t="shared" si="47"/>
        <v>18.463000000000005</v>
      </c>
      <c r="L743" s="10">
        <f t="shared" si="48"/>
        <v>3.5621536903529538E-3</v>
      </c>
      <c r="M743" s="9">
        <f t="shared" si="49"/>
        <v>31.767000000000014</v>
      </c>
      <c r="N743" s="10">
        <f t="shared" si="50"/>
        <v>-4.9215639361236869</v>
      </c>
      <c r="O743" s="9">
        <f t="shared" si="51"/>
        <v>18.16200000000001</v>
      </c>
      <c r="P743" s="10">
        <f t="shared" si="37"/>
        <v>4.1177704438734822E-2</v>
      </c>
      <c r="Q743" s="9">
        <f t="shared" si="52"/>
        <v>31.379999999999981</v>
      </c>
      <c r="R743" s="10">
        <f t="shared" si="38"/>
        <v>-1.5181301289566234</v>
      </c>
    </row>
    <row r="744" spans="3:18" x14ac:dyDescent="0.25">
      <c r="C744" s="9">
        <f t="shared" si="39"/>
        <v>18.132000000000009</v>
      </c>
      <c r="D744" s="10">
        <f t="shared" si="40"/>
        <v>0.1251755068266448</v>
      </c>
      <c r="E744" s="9">
        <f t="shared" si="41"/>
        <v>44.047999999999988</v>
      </c>
      <c r="F744" s="10">
        <f t="shared" si="42"/>
        <v>-9.5435800363632541</v>
      </c>
      <c r="G744" s="9">
        <f t="shared" si="43"/>
        <v>17.832000000000008</v>
      </c>
      <c r="H744" s="10">
        <f t="shared" si="44"/>
        <v>0.70023606387244386</v>
      </c>
      <c r="I744" s="9">
        <f t="shared" si="45"/>
        <v>27.719999999999985</v>
      </c>
      <c r="J744" s="10">
        <f t="shared" si="46"/>
        <v>-3.0000000000001359E-2</v>
      </c>
      <c r="K744" s="9">
        <f t="shared" si="47"/>
        <v>18.696000000000005</v>
      </c>
      <c r="L744" s="10">
        <f t="shared" si="48"/>
        <v>8.9914980830904101E-3</v>
      </c>
      <c r="M744" s="9">
        <f t="shared" si="49"/>
        <v>32.364000000000011</v>
      </c>
      <c r="N744" s="10">
        <f t="shared" si="50"/>
        <v>-4.9260461727665916</v>
      </c>
      <c r="O744" s="9">
        <f t="shared" si="51"/>
        <v>18.404000000000011</v>
      </c>
      <c r="P744" s="10">
        <f t="shared" si="37"/>
        <v>4.0161956232834223E-2</v>
      </c>
      <c r="Q744" s="9">
        <f t="shared" si="52"/>
        <v>31.95999999999998</v>
      </c>
      <c r="R744" s="10">
        <f t="shared" si="38"/>
        <v>-1.5176201641266116</v>
      </c>
    </row>
    <row r="745" spans="3:18" x14ac:dyDescent="0.25">
      <c r="C745" s="9">
        <f t="shared" si="39"/>
        <v>18.368000000000009</v>
      </c>
      <c r="D745" s="10">
        <f t="shared" si="40"/>
        <v>0.1379885395117918</v>
      </c>
      <c r="E745" s="9">
        <f t="shared" si="41"/>
        <v>44.401999999999987</v>
      </c>
      <c r="F745" s="10">
        <f t="shared" si="42"/>
        <v>-9.4968679652528998</v>
      </c>
      <c r="G745" s="9">
        <f t="shared" si="43"/>
        <v>18.068000000000008</v>
      </c>
      <c r="H745" s="10">
        <f t="shared" si="44"/>
        <v>0.70544735712432483</v>
      </c>
      <c r="I745" s="9">
        <f t="shared" si="45"/>
        <v>28.279999999999983</v>
      </c>
      <c r="J745" s="10">
        <f t="shared" si="46"/>
        <v>4.9999999999985612E-3</v>
      </c>
      <c r="K745" s="9">
        <f t="shared" si="47"/>
        <v>18.929000000000006</v>
      </c>
      <c r="L745" s="10">
        <f t="shared" si="48"/>
        <v>1.4420842475827866E-2</v>
      </c>
      <c r="M745" s="9">
        <f t="shared" si="49"/>
        <v>32.961000000000013</v>
      </c>
      <c r="N745" s="10">
        <f t="shared" si="50"/>
        <v>-4.9305284094094963</v>
      </c>
      <c r="O745" s="9">
        <f t="shared" si="51"/>
        <v>18.646000000000011</v>
      </c>
      <c r="P745" s="10">
        <f t="shared" si="37"/>
        <v>3.9146208026933624E-2</v>
      </c>
      <c r="Q745" s="9">
        <f t="shared" si="52"/>
        <v>32.539999999999978</v>
      </c>
      <c r="R745" s="10">
        <f t="shared" si="38"/>
        <v>-1.5171101992966001</v>
      </c>
    </row>
    <row r="746" spans="3:18" x14ac:dyDescent="0.25">
      <c r="C746" s="9">
        <f t="shared" si="39"/>
        <v>18.60400000000001</v>
      </c>
      <c r="D746" s="10">
        <f t="shared" si="40"/>
        <v>0.15080157219693868</v>
      </c>
      <c r="E746" s="9">
        <f t="shared" si="41"/>
        <v>44.755999999999986</v>
      </c>
      <c r="F746" s="10">
        <f t="shared" si="42"/>
        <v>-9.4501558941425436</v>
      </c>
      <c r="G746" s="9">
        <f t="shared" si="43"/>
        <v>18.304000000000009</v>
      </c>
      <c r="H746" s="10">
        <f t="shared" si="44"/>
        <v>0.7106586503762059</v>
      </c>
      <c r="I746" s="9">
        <f t="shared" si="45"/>
        <v>28.839999999999982</v>
      </c>
      <c r="J746" s="10">
        <f t="shared" si="46"/>
        <v>3.9999999999998481E-2</v>
      </c>
      <c r="K746" s="9">
        <f t="shared" si="47"/>
        <v>19.162000000000006</v>
      </c>
      <c r="L746" s="10">
        <f t="shared" si="48"/>
        <v>1.9850186868565323E-2</v>
      </c>
      <c r="M746" s="9">
        <f t="shared" si="49"/>
        <v>33.558000000000014</v>
      </c>
      <c r="N746" s="10">
        <f t="shared" si="50"/>
        <v>-4.9350106460524019</v>
      </c>
      <c r="O746" s="9">
        <f t="shared" si="51"/>
        <v>18.888000000000012</v>
      </c>
      <c r="P746" s="10">
        <f t="shared" si="37"/>
        <v>3.8130459821033025E-2</v>
      </c>
      <c r="Q746" s="9">
        <f t="shared" si="52"/>
        <v>33.119999999999976</v>
      </c>
      <c r="R746" s="10">
        <f t="shared" si="38"/>
        <v>-1.5166002344665883</v>
      </c>
    </row>
    <row r="747" spans="3:18" x14ac:dyDescent="0.25">
      <c r="C747" s="9">
        <f t="shared" si="39"/>
        <v>18.840000000000011</v>
      </c>
      <c r="D747" s="10">
        <f t="shared" si="40"/>
        <v>0.16361460488208568</v>
      </c>
      <c r="E747" s="9">
        <f t="shared" si="41"/>
        <v>45.109999999999985</v>
      </c>
      <c r="F747" s="10">
        <f t="shared" si="42"/>
        <v>-9.4034438230321911</v>
      </c>
      <c r="G747" s="9">
        <f t="shared" si="43"/>
        <v>18.54000000000001</v>
      </c>
      <c r="H747" s="10">
        <f t="shared" si="44"/>
        <v>0.71586994362808687</v>
      </c>
      <c r="I747" s="9">
        <f t="shared" si="45"/>
        <v>29.399999999999981</v>
      </c>
      <c r="J747" s="10">
        <f t="shared" si="46"/>
        <v>7.4999999999998401E-2</v>
      </c>
      <c r="K747" s="9">
        <f t="shared" si="47"/>
        <v>19.395000000000007</v>
      </c>
      <c r="L747" s="10">
        <f t="shared" si="48"/>
        <v>2.5279531261302779E-2</v>
      </c>
      <c r="M747" s="9">
        <f t="shared" si="49"/>
        <v>34.155000000000015</v>
      </c>
      <c r="N747" s="10">
        <f t="shared" si="50"/>
        <v>-4.9394928826953066</v>
      </c>
      <c r="O747" s="9">
        <f t="shared" si="51"/>
        <v>19.130000000000013</v>
      </c>
      <c r="P747" s="10">
        <f t="shared" si="37"/>
        <v>3.7114711615132426E-2</v>
      </c>
      <c r="Q747" s="9">
        <f t="shared" si="52"/>
        <v>33.699999999999974</v>
      </c>
      <c r="R747" s="10">
        <f t="shared" si="38"/>
        <v>-1.5160902696365766</v>
      </c>
    </row>
    <row r="748" spans="3:18" x14ac:dyDescent="0.25">
      <c r="C748" s="9">
        <f t="shared" si="39"/>
        <v>19.076000000000011</v>
      </c>
      <c r="D748" s="10">
        <f t="shared" si="40"/>
        <v>0.17642763756723245</v>
      </c>
      <c r="E748" s="9">
        <f t="shared" si="41"/>
        <v>45.463999999999984</v>
      </c>
      <c r="F748" s="10">
        <f t="shared" si="42"/>
        <v>-9.3567317519218349</v>
      </c>
      <c r="G748" s="9">
        <f t="shared" si="43"/>
        <v>18.77600000000001</v>
      </c>
      <c r="H748" s="10">
        <f t="shared" si="44"/>
        <v>0.72108123687996795</v>
      </c>
      <c r="I748" s="9">
        <f t="shared" si="45"/>
        <v>29.95999999999998</v>
      </c>
      <c r="J748" s="10">
        <f t="shared" si="46"/>
        <v>0.10999999999999832</v>
      </c>
      <c r="K748" s="9">
        <f t="shared" si="47"/>
        <v>19.628000000000007</v>
      </c>
      <c r="L748" s="10">
        <f t="shared" si="48"/>
        <v>3.0708875654040235E-2</v>
      </c>
      <c r="M748" s="9">
        <f t="shared" si="49"/>
        <v>34.752000000000017</v>
      </c>
      <c r="N748" s="10">
        <f t="shared" si="50"/>
        <v>-4.9439751193382113</v>
      </c>
      <c r="O748" s="9">
        <f t="shared" si="51"/>
        <v>19.372000000000014</v>
      </c>
      <c r="P748" s="10">
        <f t="shared" si="37"/>
        <v>3.6098963409231827E-2</v>
      </c>
      <c r="Q748" s="9">
        <f t="shared" si="52"/>
        <v>34.279999999999973</v>
      </c>
      <c r="R748" s="10">
        <f t="shared" si="38"/>
        <v>-1.5155803048065648</v>
      </c>
    </row>
    <row r="749" spans="3:18" x14ac:dyDescent="0.25">
      <c r="C749" s="9">
        <f t="shared" si="39"/>
        <v>19.312000000000012</v>
      </c>
      <c r="D749" s="10">
        <f t="shared" si="40"/>
        <v>0.18924067025237945</v>
      </c>
      <c r="E749" s="9">
        <f t="shared" si="41"/>
        <v>45.817999999999984</v>
      </c>
      <c r="F749" s="10">
        <f t="shared" si="42"/>
        <v>-9.3100196808114788</v>
      </c>
      <c r="G749" s="9">
        <f t="shared" si="43"/>
        <v>19.012000000000011</v>
      </c>
      <c r="H749" s="10">
        <f t="shared" si="44"/>
        <v>0.72629253013184902</v>
      </c>
      <c r="I749" s="9">
        <f t="shared" si="45"/>
        <v>30.519999999999978</v>
      </c>
      <c r="J749" s="10">
        <f t="shared" si="46"/>
        <v>0.14499999999999824</v>
      </c>
      <c r="K749" s="9">
        <f t="shared" si="47"/>
        <v>19.861000000000008</v>
      </c>
      <c r="L749" s="10">
        <f t="shared" si="48"/>
        <v>3.6138220046777692E-2</v>
      </c>
      <c r="M749" s="9">
        <f t="shared" si="49"/>
        <v>35.349000000000018</v>
      </c>
      <c r="N749" s="10">
        <f t="shared" si="50"/>
        <v>-4.9484573559811169</v>
      </c>
      <c r="O749" s="9">
        <f t="shared" si="51"/>
        <v>19.614000000000015</v>
      </c>
      <c r="P749" s="10">
        <f t="shared" si="37"/>
        <v>3.5083215203331242E-2</v>
      </c>
      <c r="Q749" s="9">
        <f t="shared" si="52"/>
        <v>34.859999999999971</v>
      </c>
      <c r="R749" s="10">
        <f t="shared" si="38"/>
        <v>-1.515070339976553</v>
      </c>
    </row>
    <row r="750" spans="3:18" x14ac:dyDescent="0.25">
      <c r="C750" s="9">
        <f t="shared" si="39"/>
        <v>19.548000000000012</v>
      </c>
      <c r="D750" s="10">
        <f t="shared" si="40"/>
        <v>0.20205370293752623</v>
      </c>
      <c r="E750" s="9">
        <f t="shared" si="41"/>
        <v>46.171999999999983</v>
      </c>
      <c r="F750" s="10">
        <f t="shared" si="42"/>
        <v>-9.2633076097011262</v>
      </c>
      <c r="G750" s="9">
        <f t="shared" si="43"/>
        <v>19.248000000000012</v>
      </c>
      <c r="H750" s="10">
        <f t="shared" si="44"/>
        <v>0.7315038233837301</v>
      </c>
      <c r="I750" s="9">
        <f t="shared" si="45"/>
        <v>31.079999999999977</v>
      </c>
      <c r="J750" s="10">
        <f t="shared" si="46"/>
        <v>0.17999999999999816</v>
      </c>
      <c r="K750" s="9">
        <f t="shared" si="47"/>
        <v>20.094000000000008</v>
      </c>
      <c r="L750" s="10">
        <f t="shared" si="48"/>
        <v>4.1567564439515148E-2</v>
      </c>
      <c r="M750" s="9">
        <f t="shared" si="49"/>
        <v>35.946000000000019</v>
      </c>
      <c r="N750" s="10">
        <f t="shared" si="50"/>
        <v>-4.9529395926240216</v>
      </c>
      <c r="O750" s="9">
        <f t="shared" si="51"/>
        <v>19.856000000000016</v>
      </c>
      <c r="P750" s="10">
        <f t="shared" si="37"/>
        <v>3.4067466997430643E-2</v>
      </c>
      <c r="Q750" s="9">
        <f t="shared" si="52"/>
        <v>35.439999999999969</v>
      </c>
      <c r="R750" s="10">
        <f t="shared" si="38"/>
        <v>-1.5145603751465415</v>
      </c>
    </row>
    <row r="751" spans="3:18" x14ac:dyDescent="0.25">
      <c r="C751" s="9">
        <f t="shared" si="39"/>
        <v>19.784000000000013</v>
      </c>
      <c r="D751" s="10">
        <f t="shared" si="40"/>
        <v>0.21486673562267322</v>
      </c>
      <c r="E751" s="9">
        <f t="shared" si="41"/>
        <v>46.525999999999982</v>
      </c>
      <c r="F751" s="10">
        <f t="shared" si="42"/>
        <v>-9.2165955385907701</v>
      </c>
      <c r="G751" s="9">
        <f t="shared" si="43"/>
        <v>19.484000000000012</v>
      </c>
      <c r="H751" s="10">
        <f t="shared" si="44"/>
        <v>0.73671511663561118</v>
      </c>
      <c r="I751" s="9">
        <f t="shared" si="45"/>
        <v>31.639999999999976</v>
      </c>
      <c r="J751" s="10">
        <f t="shared" si="46"/>
        <v>0.21499999999999808</v>
      </c>
      <c r="K751" s="9">
        <f t="shared" si="47"/>
        <v>20.327000000000009</v>
      </c>
      <c r="L751" s="10">
        <f t="shared" si="48"/>
        <v>4.6996908832252604E-2</v>
      </c>
      <c r="M751" s="9">
        <f t="shared" si="49"/>
        <v>36.543000000000021</v>
      </c>
      <c r="N751" s="10">
        <f t="shared" si="50"/>
        <v>-4.9574218292669263</v>
      </c>
      <c r="O751" s="9">
        <f t="shared" si="51"/>
        <v>20.098000000000017</v>
      </c>
      <c r="P751" s="10">
        <f t="shared" si="37"/>
        <v>3.3051718791530044E-2</v>
      </c>
      <c r="Q751" s="9">
        <f t="shared" si="52"/>
        <v>36.019999999999968</v>
      </c>
      <c r="R751" s="10">
        <f t="shared" si="38"/>
        <v>-1.5140504103165298</v>
      </c>
    </row>
    <row r="752" spans="3:18" x14ac:dyDescent="0.25">
      <c r="C752" s="9">
        <f t="shared" si="39"/>
        <v>20.020000000000014</v>
      </c>
      <c r="D752" s="10">
        <f t="shared" si="40"/>
        <v>0.22767976830782022</v>
      </c>
      <c r="E752" s="9">
        <f t="shared" si="41"/>
        <v>46.879999999999981</v>
      </c>
      <c r="F752" s="10">
        <f t="shared" si="42"/>
        <v>-9.1698834674804139</v>
      </c>
      <c r="G752" s="9">
        <f t="shared" si="43"/>
        <v>19.720000000000013</v>
      </c>
      <c r="H752" s="10">
        <f t="shared" si="44"/>
        <v>0.74192640988749214</v>
      </c>
      <c r="I752" s="9">
        <f t="shared" si="45"/>
        <v>32.199999999999974</v>
      </c>
      <c r="J752" s="10">
        <f t="shared" si="46"/>
        <v>0.249999999999998</v>
      </c>
      <c r="K752" s="9">
        <f t="shared" si="47"/>
        <v>20.560000000000009</v>
      </c>
      <c r="L752" s="10">
        <f t="shared" si="48"/>
        <v>5.242625322499006E-2</v>
      </c>
      <c r="M752" s="9">
        <f t="shared" si="49"/>
        <v>37.140000000000022</v>
      </c>
      <c r="N752" s="10">
        <f t="shared" si="50"/>
        <v>-4.961904065909831</v>
      </c>
      <c r="O752" s="9">
        <f t="shared" si="51"/>
        <v>20.340000000000018</v>
      </c>
      <c r="P752" s="10">
        <f t="shared" si="37"/>
        <v>3.2035970585629445E-2</v>
      </c>
      <c r="Q752" s="9">
        <f t="shared" si="52"/>
        <v>36.599999999999966</v>
      </c>
      <c r="R752" s="10">
        <f t="shared" si="38"/>
        <v>-1.513540445486518</v>
      </c>
    </row>
    <row r="753" spans="3:18" x14ac:dyDescent="0.25">
      <c r="C753" s="9">
        <f t="shared" si="39"/>
        <v>20.256000000000014</v>
      </c>
      <c r="D753" s="10">
        <f t="shared" si="40"/>
        <v>0.24049280099296699</v>
      </c>
      <c r="E753" s="9">
        <f t="shared" si="41"/>
        <v>47.23399999999998</v>
      </c>
      <c r="F753" s="10">
        <f t="shared" si="42"/>
        <v>-9.1231713963700614</v>
      </c>
      <c r="G753" s="9">
        <f t="shared" si="43"/>
        <v>19.956000000000014</v>
      </c>
      <c r="H753" s="10">
        <f t="shared" si="44"/>
        <v>0.74713770313937311</v>
      </c>
      <c r="I753" s="9">
        <f t="shared" si="45"/>
        <v>32.759999999999977</v>
      </c>
      <c r="J753" s="10">
        <f t="shared" si="46"/>
        <v>0.28499999999999814</v>
      </c>
      <c r="K753" s="9">
        <f t="shared" si="47"/>
        <v>20.79300000000001</v>
      </c>
      <c r="L753" s="10">
        <f t="shared" si="48"/>
        <v>5.7855597617727517E-2</v>
      </c>
      <c r="M753" s="9">
        <f t="shared" si="49"/>
        <v>37.737000000000023</v>
      </c>
      <c r="N753" s="10">
        <f t="shared" si="50"/>
        <v>-4.9663863025527366</v>
      </c>
      <c r="O753" s="9">
        <f t="shared" si="51"/>
        <v>20.582000000000019</v>
      </c>
      <c r="P753" s="10">
        <f t="shared" si="37"/>
        <v>3.1020222379728846E-2</v>
      </c>
      <c r="Q753" s="9">
        <f t="shared" si="52"/>
        <v>37.179999999999964</v>
      </c>
      <c r="R753" s="10">
        <f t="shared" si="38"/>
        <v>-1.5130304806565062</v>
      </c>
    </row>
    <row r="754" spans="3:18" x14ac:dyDescent="0.25">
      <c r="C754" s="9">
        <f t="shared" si="39"/>
        <v>20.492000000000015</v>
      </c>
      <c r="D754" s="10">
        <f t="shared" si="40"/>
        <v>0.25330583367811399</v>
      </c>
      <c r="E754" s="9">
        <f t="shared" si="41"/>
        <v>47.58799999999998</v>
      </c>
      <c r="F754" s="10">
        <f t="shared" si="42"/>
        <v>-9.0764593252597052</v>
      </c>
      <c r="G754" s="9">
        <f t="shared" si="43"/>
        <v>20.192000000000014</v>
      </c>
      <c r="H754" s="10">
        <f t="shared" si="44"/>
        <v>0.75234899639125419</v>
      </c>
      <c r="I754" s="9">
        <f t="shared" si="45"/>
        <v>33.319999999999979</v>
      </c>
      <c r="J754" s="10">
        <f t="shared" si="46"/>
        <v>0.31999999999999829</v>
      </c>
      <c r="K754" s="9">
        <f t="shared" si="47"/>
        <v>21.02600000000001</v>
      </c>
      <c r="L754" s="10">
        <f t="shared" si="48"/>
        <v>6.3284942010464973E-2</v>
      </c>
      <c r="M754" s="9">
        <f t="shared" si="49"/>
        <v>38.334000000000024</v>
      </c>
      <c r="N754" s="10">
        <f t="shared" si="50"/>
        <v>-4.9708685391956413</v>
      </c>
      <c r="O754" s="9">
        <f t="shared" si="51"/>
        <v>20.824000000000019</v>
      </c>
      <c r="P754" s="10">
        <f t="shared" si="37"/>
        <v>3.0004474173828247E-2</v>
      </c>
      <c r="Q754" s="9">
        <f t="shared" si="52"/>
        <v>37.759999999999962</v>
      </c>
      <c r="R754" s="10">
        <f t="shared" si="38"/>
        <v>-1.5125205158264945</v>
      </c>
    </row>
    <row r="755" spans="3:18" x14ac:dyDescent="0.25">
      <c r="C755" s="9">
        <f t="shared" si="39"/>
        <v>20.728000000000016</v>
      </c>
      <c r="D755" s="10">
        <f t="shared" si="40"/>
        <v>0.26611886636326099</v>
      </c>
      <c r="E755" s="9">
        <f t="shared" si="41"/>
        <v>47.941999999999979</v>
      </c>
      <c r="F755" s="10">
        <f t="shared" si="42"/>
        <v>-9.0297472541493509</v>
      </c>
      <c r="G755" s="9">
        <f t="shared" si="43"/>
        <v>20.428000000000015</v>
      </c>
      <c r="H755" s="10">
        <f t="shared" si="44"/>
        <v>0.75756028964313527</v>
      </c>
      <c r="I755" s="9">
        <f t="shared" si="45"/>
        <v>33.879999999999981</v>
      </c>
      <c r="J755" s="10">
        <f t="shared" si="46"/>
        <v>0.35499999999999843</v>
      </c>
      <c r="K755" s="9">
        <f t="shared" si="47"/>
        <v>21.259000000000011</v>
      </c>
      <c r="L755" s="10">
        <f t="shared" si="48"/>
        <v>6.8714286403202429E-2</v>
      </c>
      <c r="M755" s="9">
        <f t="shared" si="49"/>
        <v>38.931000000000026</v>
      </c>
      <c r="N755" s="10">
        <f t="shared" si="50"/>
        <v>-4.975350775838546</v>
      </c>
      <c r="O755" s="9">
        <f t="shared" si="51"/>
        <v>21.06600000000002</v>
      </c>
      <c r="P755" s="10">
        <f t="shared" si="37"/>
        <v>2.8988725967927648E-2</v>
      </c>
      <c r="Q755" s="9">
        <f t="shared" si="52"/>
        <v>38.339999999999961</v>
      </c>
      <c r="R755" s="10">
        <f t="shared" si="38"/>
        <v>-1.5120105509964827</v>
      </c>
    </row>
    <row r="756" spans="3:18" x14ac:dyDescent="0.25">
      <c r="C756" s="9">
        <f t="shared" si="39"/>
        <v>20.964000000000016</v>
      </c>
      <c r="D756" s="10">
        <f t="shared" si="40"/>
        <v>0.27893189904840776</v>
      </c>
      <c r="E756" s="9">
        <f t="shared" si="41"/>
        <v>48.295999999999978</v>
      </c>
      <c r="F756" s="10">
        <f t="shared" si="42"/>
        <v>-8.9830351830389965</v>
      </c>
      <c r="G756" s="9">
        <f t="shared" si="43"/>
        <v>20.664000000000016</v>
      </c>
      <c r="H756" s="10">
        <f t="shared" si="44"/>
        <v>0.76277158289501634</v>
      </c>
      <c r="I756" s="9">
        <f t="shared" si="45"/>
        <v>34.439999999999984</v>
      </c>
      <c r="J756" s="10">
        <f t="shared" si="46"/>
        <v>0.38999999999999857</v>
      </c>
      <c r="K756" s="9">
        <f t="shared" si="47"/>
        <v>21.492000000000012</v>
      </c>
      <c r="L756" s="10">
        <f t="shared" si="48"/>
        <v>7.4143630795939885E-2</v>
      </c>
      <c r="M756" s="9">
        <f t="shared" si="49"/>
        <v>39.528000000000027</v>
      </c>
      <c r="N756" s="10">
        <f t="shared" si="50"/>
        <v>-4.9798330124814507</v>
      </c>
      <c r="O756" s="9">
        <f t="shared" si="51"/>
        <v>21.308000000000021</v>
      </c>
      <c r="P756" s="10">
        <f t="shared" si="37"/>
        <v>2.7972977762027049E-2</v>
      </c>
      <c r="Q756" s="9">
        <f t="shared" si="52"/>
        <v>38.919999999999959</v>
      </c>
      <c r="R756" s="10">
        <f t="shared" si="38"/>
        <v>-1.5115005861664712</v>
      </c>
    </row>
    <row r="757" spans="3:18" x14ac:dyDescent="0.25">
      <c r="C757" s="9">
        <f t="shared" si="39"/>
        <v>21.200000000000017</v>
      </c>
      <c r="D757" s="10">
        <f t="shared" si="40"/>
        <v>0.29174493173355476</v>
      </c>
      <c r="E757" s="9">
        <f t="shared" si="41"/>
        <v>48.649999999999977</v>
      </c>
      <c r="F757" s="10">
        <f t="shared" si="42"/>
        <v>-8.9363231119286404</v>
      </c>
      <c r="G757" s="9">
        <f t="shared" si="43"/>
        <v>20.900000000000016</v>
      </c>
      <c r="H757" s="10">
        <f t="shared" si="44"/>
        <v>0.76798287614689742</v>
      </c>
      <c r="I757" s="9">
        <f t="shared" si="45"/>
        <v>34.999999999999986</v>
      </c>
      <c r="J757" s="10">
        <f t="shared" si="46"/>
        <v>0.42499999999999871</v>
      </c>
      <c r="K757" s="9">
        <f t="shared" si="47"/>
        <v>21.725000000000012</v>
      </c>
      <c r="L757" s="10">
        <f t="shared" si="48"/>
        <v>7.9572975188677342E-2</v>
      </c>
      <c r="M757" s="9">
        <f t="shared" si="49"/>
        <v>40.125000000000028</v>
      </c>
      <c r="N757" s="10">
        <f t="shared" si="50"/>
        <v>-4.9843152491243563</v>
      </c>
      <c r="O757" s="9">
        <f t="shared" si="51"/>
        <v>21.550000000000022</v>
      </c>
      <c r="P757" s="10">
        <f t="shared" si="37"/>
        <v>2.6957229556126464E-2</v>
      </c>
      <c r="Q757" s="9">
        <f t="shared" si="52"/>
        <v>39.499999999999957</v>
      </c>
      <c r="R757" s="10">
        <f t="shared" si="38"/>
        <v>-1.5109906213364594</v>
      </c>
    </row>
    <row r="758" spans="3:18" x14ac:dyDescent="0.25">
      <c r="C758" s="9">
        <f t="shared" si="39"/>
        <v>21.436000000000018</v>
      </c>
      <c r="D758" s="10">
        <f t="shared" si="40"/>
        <v>0.30455796441870153</v>
      </c>
      <c r="E758" s="9">
        <f t="shared" si="41"/>
        <v>49.003999999999976</v>
      </c>
      <c r="F758" s="10">
        <f t="shared" si="42"/>
        <v>-8.889611040818286</v>
      </c>
      <c r="G758" s="9">
        <f t="shared" si="43"/>
        <v>21.136000000000017</v>
      </c>
      <c r="H758" s="10">
        <f t="shared" si="44"/>
        <v>0.7731941693987785</v>
      </c>
      <c r="I758" s="9">
        <f t="shared" si="45"/>
        <v>35.559999999999988</v>
      </c>
      <c r="J758" s="10">
        <f t="shared" si="46"/>
        <v>0.45999999999999885</v>
      </c>
      <c r="K758" s="9">
        <f t="shared" si="47"/>
        <v>21.958000000000013</v>
      </c>
      <c r="L758" s="10">
        <f t="shared" si="48"/>
        <v>8.5002319581414798E-2</v>
      </c>
      <c r="M758" s="9">
        <f t="shared" si="49"/>
        <v>40.72200000000003</v>
      </c>
      <c r="N758" s="10">
        <f t="shared" si="50"/>
        <v>-4.988797485767261</v>
      </c>
      <c r="O758" s="9">
        <f t="shared" si="51"/>
        <v>21.792000000000023</v>
      </c>
      <c r="P758" s="10">
        <f t="shared" si="37"/>
        <v>2.5941481350225865E-2</v>
      </c>
      <c r="Q758" s="9">
        <f t="shared" si="52"/>
        <v>40.079999999999956</v>
      </c>
      <c r="R758" s="10">
        <f t="shared" si="38"/>
        <v>-1.5104806565064477</v>
      </c>
    </row>
    <row r="759" spans="3:18" x14ac:dyDescent="0.25">
      <c r="C759" s="9">
        <f t="shared" si="39"/>
        <v>21.672000000000018</v>
      </c>
      <c r="D759" s="10">
        <f t="shared" si="40"/>
        <v>0.31737099710384853</v>
      </c>
      <c r="E759" s="9">
        <f t="shared" si="41"/>
        <v>49.357999999999976</v>
      </c>
      <c r="F759" s="10">
        <f t="shared" si="42"/>
        <v>-8.8428989697079317</v>
      </c>
      <c r="G759" s="9">
        <f t="shared" si="43"/>
        <v>21.372000000000018</v>
      </c>
      <c r="H759" s="10">
        <f t="shared" si="44"/>
        <v>0.77840546265065946</v>
      </c>
      <c r="I759" s="9">
        <f t="shared" si="45"/>
        <v>36.11999999999999</v>
      </c>
      <c r="J759" s="10">
        <f t="shared" si="46"/>
        <v>0.494999999999999</v>
      </c>
      <c r="K759" s="9">
        <f t="shared" si="47"/>
        <v>22.191000000000013</v>
      </c>
      <c r="L759" s="10">
        <f t="shared" si="48"/>
        <v>9.0431663974152254E-2</v>
      </c>
      <c r="M759" s="9">
        <f t="shared" si="49"/>
        <v>41.319000000000031</v>
      </c>
      <c r="N759" s="10">
        <f t="shared" si="50"/>
        <v>-4.9932797224101657</v>
      </c>
      <c r="O759" s="9">
        <f t="shared" si="51"/>
        <v>22.034000000000024</v>
      </c>
      <c r="P759" s="10">
        <f t="shared" si="37"/>
        <v>2.4925733144325266E-2</v>
      </c>
      <c r="Q759" s="9">
        <f t="shared" si="52"/>
        <v>40.659999999999954</v>
      </c>
      <c r="R759" s="10">
        <f t="shared" si="38"/>
        <v>-1.5099706916764359</v>
      </c>
    </row>
    <row r="760" spans="3:18" x14ac:dyDescent="0.25">
      <c r="C760" s="9">
        <f t="shared" si="39"/>
        <v>21.908000000000019</v>
      </c>
      <c r="D760" s="10">
        <f t="shared" si="40"/>
        <v>0.33018402978899553</v>
      </c>
      <c r="E760" s="9">
        <f t="shared" si="41"/>
        <v>49.711999999999975</v>
      </c>
      <c r="F760" s="10">
        <f t="shared" si="42"/>
        <v>-8.7961868985975755</v>
      </c>
      <c r="G760" s="9">
        <f t="shared" si="43"/>
        <v>21.608000000000018</v>
      </c>
      <c r="H760" s="10">
        <f t="shared" si="44"/>
        <v>0.78361675590254043</v>
      </c>
      <c r="I760" s="9">
        <f t="shared" si="45"/>
        <v>36.679999999999993</v>
      </c>
      <c r="J760" s="10">
        <f t="shared" si="46"/>
        <v>0.52999999999999914</v>
      </c>
      <c r="K760" s="9">
        <f t="shared" si="47"/>
        <v>22.424000000000014</v>
      </c>
      <c r="L760" s="10">
        <f t="shared" si="48"/>
        <v>9.5861008366889711E-2</v>
      </c>
      <c r="M760" s="9">
        <f t="shared" si="49"/>
        <v>41.916000000000032</v>
      </c>
      <c r="N760" s="10">
        <f t="shared" si="50"/>
        <v>-4.9977619590530704</v>
      </c>
      <c r="O760" s="9">
        <f t="shared" si="51"/>
        <v>22.276000000000025</v>
      </c>
      <c r="P760" s="10">
        <f t="shared" si="37"/>
        <v>2.3909984938424667E-2</v>
      </c>
      <c r="Q760" s="9">
        <f t="shared" si="52"/>
        <v>41.239999999999952</v>
      </c>
      <c r="R760" s="10">
        <f t="shared" si="38"/>
        <v>-1.5094607268464242</v>
      </c>
    </row>
    <row r="761" spans="3:18" x14ac:dyDescent="0.25">
      <c r="C761" s="9">
        <f t="shared" si="39"/>
        <v>22.14400000000002</v>
      </c>
      <c r="D761" s="10">
        <f t="shared" si="40"/>
        <v>0.3429970624741423</v>
      </c>
      <c r="E761" s="9">
        <f t="shared" si="41"/>
        <v>50.065999999999974</v>
      </c>
      <c r="F761" s="10">
        <f t="shared" si="42"/>
        <v>-8.7494748274872212</v>
      </c>
      <c r="G761" s="9">
        <f t="shared" si="43"/>
        <v>21.844000000000019</v>
      </c>
      <c r="H761" s="10">
        <f t="shared" si="44"/>
        <v>0.78882804915442151</v>
      </c>
      <c r="I761" s="9">
        <f t="shared" si="45"/>
        <v>37.239999999999995</v>
      </c>
      <c r="J761" s="10">
        <f t="shared" si="46"/>
        <v>0.56499999999999928</v>
      </c>
      <c r="K761" s="9">
        <f t="shared" si="47"/>
        <v>22.657000000000014</v>
      </c>
      <c r="L761" s="10">
        <f t="shared" si="48"/>
        <v>0.10129035275962717</v>
      </c>
      <c r="M761" s="9">
        <f t="shared" si="49"/>
        <v>42.513000000000034</v>
      </c>
      <c r="N761" s="10">
        <f t="shared" si="50"/>
        <v>-5.002244195695976</v>
      </c>
      <c r="O761" s="9">
        <f t="shared" si="51"/>
        <v>22.518000000000026</v>
      </c>
      <c r="P761" s="10">
        <f t="shared" si="37"/>
        <v>2.2894236732524068E-2</v>
      </c>
      <c r="Q761" s="9">
        <f t="shared" si="52"/>
        <v>41.819999999999951</v>
      </c>
      <c r="R761" s="10">
        <f t="shared" si="38"/>
        <v>-1.5089507620164127</v>
      </c>
    </row>
    <row r="762" spans="3:18" x14ac:dyDescent="0.25">
      <c r="C762" s="9">
        <f t="shared" si="39"/>
        <v>22.38000000000002</v>
      </c>
      <c r="D762" s="10">
        <f t="shared" si="40"/>
        <v>0.3558100951592893</v>
      </c>
      <c r="E762" s="9">
        <f t="shared" si="41"/>
        <v>50.419999999999973</v>
      </c>
      <c r="F762" s="10">
        <f t="shared" si="42"/>
        <v>-8.7027627563768668</v>
      </c>
      <c r="G762" s="9">
        <f t="shared" si="43"/>
        <v>22.08000000000002</v>
      </c>
      <c r="H762" s="10">
        <f t="shared" si="44"/>
        <v>0.79403934240630258</v>
      </c>
      <c r="I762" s="9">
        <f t="shared" si="45"/>
        <v>37.799999999999997</v>
      </c>
      <c r="J762" s="10">
        <f t="shared" si="46"/>
        <v>0.59999999999999942</v>
      </c>
      <c r="K762" s="9">
        <f t="shared" si="47"/>
        <v>22.890000000000015</v>
      </c>
      <c r="L762" s="10">
        <f t="shared" si="48"/>
        <v>0.10671969715236462</v>
      </c>
      <c r="M762" s="9">
        <f t="shared" si="49"/>
        <v>43.110000000000035</v>
      </c>
      <c r="N762" s="10">
        <f t="shared" si="50"/>
        <v>-5.0067264323388807</v>
      </c>
      <c r="O762" s="9">
        <f t="shared" si="51"/>
        <v>22.760000000000026</v>
      </c>
      <c r="P762" s="10">
        <f t="shared" si="37"/>
        <v>2.1878488526623469E-2</v>
      </c>
      <c r="Q762" s="9">
        <f t="shared" si="52"/>
        <v>42.399999999999949</v>
      </c>
      <c r="R762" s="10">
        <f t="shared" si="38"/>
        <v>-1.5084407971864009</v>
      </c>
    </row>
    <row r="763" spans="3:18" x14ac:dyDescent="0.25">
      <c r="C763" s="9">
        <f t="shared" si="39"/>
        <v>22.616000000000021</v>
      </c>
      <c r="D763" s="10">
        <f t="shared" si="40"/>
        <v>0.36862312784443629</v>
      </c>
      <c r="E763" s="9">
        <f t="shared" si="41"/>
        <v>50.773999999999972</v>
      </c>
      <c r="F763" s="10">
        <f t="shared" si="42"/>
        <v>-8.6560506852665107</v>
      </c>
      <c r="G763" s="9">
        <f t="shared" si="43"/>
        <v>22.31600000000002</v>
      </c>
      <c r="H763" s="10">
        <f t="shared" si="44"/>
        <v>0.79925063565818366</v>
      </c>
      <c r="I763" s="9">
        <f t="shared" si="45"/>
        <v>38.36</v>
      </c>
      <c r="J763" s="10">
        <f t="shared" si="46"/>
        <v>0.63499999999999956</v>
      </c>
      <c r="K763" s="9">
        <f t="shared" si="47"/>
        <v>23.123000000000015</v>
      </c>
      <c r="L763" s="10">
        <f t="shared" si="48"/>
        <v>0.11214904154510208</v>
      </c>
      <c r="M763" s="9">
        <f t="shared" si="49"/>
        <v>43.707000000000036</v>
      </c>
      <c r="N763" s="10">
        <f t="shared" si="50"/>
        <v>-5.0112086689817854</v>
      </c>
      <c r="O763" s="9">
        <f t="shared" si="51"/>
        <v>23.002000000000027</v>
      </c>
      <c r="P763" s="10">
        <f t="shared" si="37"/>
        <v>2.086274032072287E-2</v>
      </c>
      <c r="Q763" s="9">
        <f t="shared" si="52"/>
        <v>42.979999999999947</v>
      </c>
      <c r="R763" s="10">
        <f t="shared" si="38"/>
        <v>-1.5079308323563891</v>
      </c>
    </row>
    <row r="764" spans="3:18" x14ac:dyDescent="0.25">
      <c r="C764" s="9">
        <f t="shared" si="39"/>
        <v>22.852000000000022</v>
      </c>
      <c r="D764" s="10">
        <f t="shared" si="40"/>
        <v>0.38143616052958307</v>
      </c>
      <c r="E764" s="9">
        <f t="shared" si="41"/>
        <v>51.127999999999972</v>
      </c>
      <c r="F764" s="10">
        <f t="shared" si="42"/>
        <v>-8.6093386141561563</v>
      </c>
      <c r="G764" s="9">
        <f t="shared" si="43"/>
        <v>22.552000000000021</v>
      </c>
      <c r="H764" s="10">
        <f t="shared" si="44"/>
        <v>0.80446192891006474</v>
      </c>
      <c r="I764" s="9">
        <f t="shared" si="45"/>
        <v>38.92</v>
      </c>
      <c r="J764" s="10">
        <f t="shared" si="46"/>
        <v>0.66999999999999971</v>
      </c>
      <c r="K764" s="9">
        <f t="shared" si="47"/>
        <v>23.356000000000016</v>
      </c>
      <c r="L764" s="10">
        <f t="shared" si="48"/>
        <v>0.11757838593783954</v>
      </c>
      <c r="M764" s="9">
        <f t="shared" si="49"/>
        <v>44.304000000000038</v>
      </c>
      <c r="N764" s="10">
        <f t="shared" si="50"/>
        <v>-5.015690905624691</v>
      </c>
      <c r="O764" s="9">
        <f t="shared" si="51"/>
        <v>23.244000000000028</v>
      </c>
      <c r="P764" s="10">
        <f t="shared" ref="P764:P795" si="53">$F$553+$F$554*O764</f>
        <v>1.9846992114822284E-2</v>
      </c>
      <c r="Q764" s="9">
        <f t="shared" si="52"/>
        <v>43.559999999999945</v>
      </c>
      <c r="R764" s="10">
        <f t="shared" ref="R764:R795" si="54">$M$553+$M$554*Q764</f>
        <v>-1.5074208675263774</v>
      </c>
    </row>
    <row r="765" spans="3:18" x14ac:dyDescent="0.25">
      <c r="C765" s="9">
        <f t="shared" ref="C765:C796" si="55">C764+$D$730</f>
        <v>23.088000000000022</v>
      </c>
      <c r="D765" s="10">
        <f t="shared" si="40"/>
        <v>0.39424919321473006</v>
      </c>
      <c r="E765" s="9">
        <f t="shared" ref="E765:E796" si="56">E764+$F$730</f>
        <v>51.481999999999971</v>
      </c>
      <c r="F765" s="10">
        <f t="shared" si="42"/>
        <v>-8.562626543045802</v>
      </c>
      <c r="G765" s="9">
        <f t="shared" ref="G765:G796" si="57">G764+$H$730</f>
        <v>22.788000000000022</v>
      </c>
      <c r="H765" s="10">
        <f t="shared" si="44"/>
        <v>0.8096732221619457</v>
      </c>
      <c r="I765" s="9">
        <f t="shared" ref="I765:I796" si="58">I764+$J$730</f>
        <v>39.480000000000004</v>
      </c>
      <c r="J765" s="10">
        <f t="shared" si="46"/>
        <v>0.70499999999999985</v>
      </c>
      <c r="K765" s="9">
        <f t="shared" ref="K765:K796" si="59">K764+$L$730</f>
        <v>23.589000000000016</v>
      </c>
      <c r="L765" s="10">
        <f t="shared" si="48"/>
        <v>0.12300773033057699</v>
      </c>
      <c r="M765" s="9">
        <f t="shared" ref="M765:M796" si="60">M764+$N$730</f>
        <v>44.901000000000039</v>
      </c>
      <c r="N765" s="10">
        <f t="shared" si="50"/>
        <v>-5.0201731422675957</v>
      </c>
      <c r="O765" s="9">
        <f t="shared" ref="O765:O796" si="61">O764+$P$730</f>
        <v>23.486000000000029</v>
      </c>
      <c r="P765" s="10">
        <f t="shared" si="53"/>
        <v>1.8831243908921685E-2</v>
      </c>
      <c r="Q765" s="9">
        <f t="shared" ref="Q765:Q796" si="62">Q764+$R$730</f>
        <v>44.139999999999944</v>
      </c>
      <c r="R765" s="10">
        <f t="shared" si="54"/>
        <v>-1.5069109026963656</v>
      </c>
    </row>
    <row r="766" spans="3:18" x14ac:dyDescent="0.25">
      <c r="C766" s="9">
        <f t="shared" si="55"/>
        <v>23.324000000000023</v>
      </c>
      <c r="D766" s="10">
        <f t="shared" si="40"/>
        <v>0.40706222589987684</v>
      </c>
      <c r="E766" s="9">
        <f t="shared" si="56"/>
        <v>51.83599999999997</v>
      </c>
      <c r="F766" s="10">
        <f t="shared" si="42"/>
        <v>-8.5159144719354458</v>
      </c>
      <c r="G766" s="9">
        <f t="shared" si="57"/>
        <v>23.024000000000022</v>
      </c>
      <c r="H766" s="10">
        <f t="shared" si="44"/>
        <v>0.81488451541382678</v>
      </c>
      <c r="I766" s="9">
        <f t="shared" si="58"/>
        <v>40.040000000000006</v>
      </c>
      <c r="J766" s="10">
        <f t="shared" si="46"/>
        <v>0.74</v>
      </c>
      <c r="K766" s="9">
        <f t="shared" si="59"/>
        <v>23.822000000000017</v>
      </c>
      <c r="L766" s="10">
        <f t="shared" si="48"/>
        <v>0.12843707472331445</v>
      </c>
      <c r="M766" s="9">
        <f t="shared" si="60"/>
        <v>45.49800000000004</v>
      </c>
      <c r="N766" s="10">
        <f t="shared" si="50"/>
        <v>-5.0246553789105004</v>
      </c>
      <c r="O766" s="9">
        <f t="shared" si="61"/>
        <v>23.72800000000003</v>
      </c>
      <c r="P766" s="10">
        <f t="shared" si="53"/>
        <v>1.7815495703021086E-2</v>
      </c>
      <c r="Q766" s="9">
        <f t="shared" si="62"/>
        <v>44.719999999999942</v>
      </c>
      <c r="R766" s="10">
        <f t="shared" si="54"/>
        <v>-1.5064009378663539</v>
      </c>
    </row>
    <row r="767" spans="3:18" x14ac:dyDescent="0.25">
      <c r="C767" s="9">
        <f t="shared" si="55"/>
        <v>23.560000000000024</v>
      </c>
      <c r="D767" s="10">
        <f t="shared" si="40"/>
        <v>0.41987525858502384</v>
      </c>
      <c r="E767" s="9">
        <f t="shared" si="56"/>
        <v>52.189999999999969</v>
      </c>
      <c r="F767" s="10">
        <f t="shared" si="42"/>
        <v>-8.4692024008250915</v>
      </c>
      <c r="G767" s="9">
        <f t="shared" si="57"/>
        <v>23.260000000000023</v>
      </c>
      <c r="H767" s="10">
        <f t="shared" si="44"/>
        <v>0.82009580866570786</v>
      </c>
      <c r="I767" s="9">
        <f t="shared" si="58"/>
        <v>40.600000000000009</v>
      </c>
      <c r="J767" s="10">
        <f t="shared" si="46"/>
        <v>0.77500000000000013</v>
      </c>
      <c r="K767" s="9">
        <f t="shared" si="59"/>
        <v>24.055000000000017</v>
      </c>
      <c r="L767" s="10">
        <f t="shared" si="48"/>
        <v>0.1338664191160519</v>
      </c>
      <c r="M767" s="9">
        <f t="shared" si="60"/>
        <v>46.095000000000041</v>
      </c>
      <c r="N767" s="10">
        <f t="shared" si="50"/>
        <v>-5.0291376155534051</v>
      </c>
      <c r="O767" s="9">
        <f t="shared" si="61"/>
        <v>23.970000000000031</v>
      </c>
      <c r="P767" s="10">
        <f t="shared" si="53"/>
        <v>1.6799747497120487E-2</v>
      </c>
      <c r="Q767" s="9">
        <f t="shared" si="62"/>
        <v>45.29999999999994</v>
      </c>
      <c r="R767" s="10">
        <f t="shared" si="54"/>
        <v>-1.5058909730363423</v>
      </c>
    </row>
    <row r="768" spans="3:18" x14ac:dyDescent="0.25">
      <c r="C768" s="9">
        <f t="shared" si="55"/>
        <v>23.796000000000024</v>
      </c>
      <c r="D768" s="10">
        <f t="shared" si="40"/>
        <v>0.43268829127017083</v>
      </c>
      <c r="E768" s="9">
        <f t="shared" si="56"/>
        <v>52.543999999999969</v>
      </c>
      <c r="F768" s="10">
        <f t="shared" si="42"/>
        <v>-8.4224903297147371</v>
      </c>
      <c r="G768" s="9">
        <f t="shared" si="57"/>
        <v>23.496000000000024</v>
      </c>
      <c r="H768" s="10">
        <f t="shared" si="44"/>
        <v>0.82530710191758883</v>
      </c>
      <c r="I768" s="9">
        <f t="shared" si="58"/>
        <v>41.160000000000011</v>
      </c>
      <c r="J768" s="10">
        <f t="shared" si="46"/>
        <v>0.81000000000000028</v>
      </c>
      <c r="K768" s="9">
        <f t="shared" si="59"/>
        <v>24.288000000000018</v>
      </c>
      <c r="L768" s="10">
        <f t="shared" si="48"/>
        <v>0.13929576350878936</v>
      </c>
      <c r="M768" s="9">
        <f t="shared" si="60"/>
        <v>46.692000000000043</v>
      </c>
      <c r="N768" s="10">
        <f t="shared" si="50"/>
        <v>-5.0336198521963107</v>
      </c>
      <c r="O768" s="9">
        <f t="shared" si="61"/>
        <v>24.212000000000032</v>
      </c>
      <c r="P768" s="10">
        <f t="shared" si="53"/>
        <v>1.5783999291219888E-2</v>
      </c>
      <c r="Q768" s="9">
        <f t="shared" si="62"/>
        <v>45.879999999999939</v>
      </c>
      <c r="R768" s="10">
        <f t="shared" si="54"/>
        <v>-1.5053810082063306</v>
      </c>
    </row>
    <row r="769" spans="3:18" x14ac:dyDescent="0.25">
      <c r="C769" s="9">
        <f t="shared" si="55"/>
        <v>24.032000000000025</v>
      </c>
      <c r="D769" s="10">
        <f t="shared" si="40"/>
        <v>0.44550132395531761</v>
      </c>
      <c r="E769" s="9">
        <f t="shared" si="56"/>
        <v>52.897999999999968</v>
      </c>
      <c r="F769" s="10">
        <f t="shared" si="42"/>
        <v>-8.375778258604381</v>
      </c>
      <c r="G769" s="9">
        <f t="shared" si="57"/>
        <v>23.732000000000024</v>
      </c>
      <c r="H769" s="10">
        <f t="shared" si="44"/>
        <v>0.8305183951694699</v>
      </c>
      <c r="I769" s="9">
        <f t="shared" si="58"/>
        <v>41.720000000000013</v>
      </c>
      <c r="J769" s="10">
        <f t="shared" si="46"/>
        <v>0.84500000000000042</v>
      </c>
      <c r="K769" s="9">
        <f t="shared" si="59"/>
        <v>24.521000000000019</v>
      </c>
      <c r="L769" s="10">
        <f t="shared" si="48"/>
        <v>0.14472510790152682</v>
      </c>
      <c r="M769" s="9">
        <f t="shared" si="60"/>
        <v>47.289000000000044</v>
      </c>
      <c r="N769" s="10">
        <f t="shared" si="50"/>
        <v>-5.0381020888392154</v>
      </c>
      <c r="O769" s="9">
        <f t="shared" si="61"/>
        <v>24.454000000000033</v>
      </c>
      <c r="P769" s="10">
        <f t="shared" si="53"/>
        <v>1.4768251085319289E-2</v>
      </c>
      <c r="Q769" s="9">
        <f t="shared" si="62"/>
        <v>46.459999999999937</v>
      </c>
      <c r="R769" s="10">
        <f t="shared" si="54"/>
        <v>-1.5048710433763188</v>
      </c>
    </row>
    <row r="770" spans="3:18" x14ac:dyDescent="0.25">
      <c r="C770" s="9">
        <f t="shared" si="55"/>
        <v>24.268000000000026</v>
      </c>
      <c r="D770" s="10">
        <f t="shared" si="40"/>
        <v>0.4583143566404646</v>
      </c>
      <c r="E770" s="9">
        <f t="shared" si="56"/>
        <v>53.251999999999967</v>
      </c>
      <c r="F770" s="10">
        <f t="shared" si="42"/>
        <v>-8.3290661874940266</v>
      </c>
      <c r="G770" s="9">
        <f t="shared" si="57"/>
        <v>23.968000000000025</v>
      </c>
      <c r="H770" s="10">
        <f t="shared" si="44"/>
        <v>0.83572968842135098</v>
      </c>
      <c r="I770" s="9">
        <f t="shared" si="58"/>
        <v>42.280000000000015</v>
      </c>
      <c r="J770" s="10">
        <f t="shared" si="46"/>
        <v>0.88000000000000056</v>
      </c>
      <c r="K770" s="9">
        <f t="shared" si="59"/>
        <v>24.754000000000019</v>
      </c>
      <c r="L770" s="10">
        <f t="shared" si="48"/>
        <v>0.15015445229426427</v>
      </c>
      <c r="M770" s="9">
        <f t="shared" si="60"/>
        <v>47.886000000000045</v>
      </c>
      <c r="N770" s="10">
        <f t="shared" si="50"/>
        <v>-5.0425843254821201</v>
      </c>
      <c r="O770" s="9">
        <f t="shared" si="61"/>
        <v>24.696000000000033</v>
      </c>
      <c r="P770" s="10">
        <f t="shared" si="53"/>
        <v>1.375250287941869E-2</v>
      </c>
      <c r="Q770" s="9">
        <f t="shared" si="62"/>
        <v>47.039999999999935</v>
      </c>
      <c r="R770" s="10">
        <f t="shared" si="54"/>
        <v>-1.5043610785463071</v>
      </c>
    </row>
    <row r="771" spans="3:18" x14ac:dyDescent="0.25">
      <c r="C771" s="9">
        <f t="shared" si="55"/>
        <v>24.504000000000026</v>
      </c>
      <c r="D771" s="10">
        <f t="shared" si="40"/>
        <v>0.4711273893256116</v>
      </c>
      <c r="E771" s="9">
        <f t="shared" si="56"/>
        <v>53.605999999999966</v>
      </c>
      <c r="F771" s="10">
        <f t="shared" si="42"/>
        <v>-8.2823541163836722</v>
      </c>
      <c r="G771" s="9">
        <f t="shared" si="57"/>
        <v>24.204000000000025</v>
      </c>
      <c r="H771" s="10">
        <f t="shared" si="44"/>
        <v>0.84094098167323195</v>
      </c>
      <c r="I771" s="9">
        <f t="shared" si="58"/>
        <v>42.840000000000018</v>
      </c>
      <c r="J771" s="10">
        <f t="shared" si="46"/>
        <v>0.9150000000000007</v>
      </c>
      <c r="K771" s="9">
        <f t="shared" si="59"/>
        <v>24.98700000000002</v>
      </c>
      <c r="L771" s="10">
        <f t="shared" si="48"/>
        <v>0.15558379668700173</v>
      </c>
      <c r="M771" s="9">
        <f t="shared" si="60"/>
        <v>48.483000000000047</v>
      </c>
      <c r="N771" s="10">
        <f t="shared" si="50"/>
        <v>-5.0470665621250248</v>
      </c>
      <c r="O771" s="9">
        <f t="shared" si="61"/>
        <v>24.938000000000034</v>
      </c>
      <c r="P771" s="10">
        <f t="shared" si="53"/>
        <v>1.2736754673518091E-2</v>
      </c>
      <c r="Q771" s="9">
        <f t="shared" si="62"/>
        <v>47.619999999999933</v>
      </c>
      <c r="R771" s="10">
        <f t="shared" si="54"/>
        <v>-1.5038511137162953</v>
      </c>
    </row>
    <row r="772" spans="3:18" x14ac:dyDescent="0.25">
      <c r="C772" s="9">
        <f t="shared" si="55"/>
        <v>24.740000000000027</v>
      </c>
      <c r="D772" s="10">
        <f t="shared" si="40"/>
        <v>0.48394042201075838</v>
      </c>
      <c r="E772" s="9">
        <f t="shared" si="56"/>
        <v>53.959999999999965</v>
      </c>
      <c r="F772" s="10">
        <f t="shared" si="42"/>
        <v>-8.2356420452733161</v>
      </c>
      <c r="G772" s="9">
        <f t="shared" si="57"/>
        <v>24.440000000000026</v>
      </c>
      <c r="H772" s="10">
        <f t="shared" si="44"/>
        <v>0.84615227492511302</v>
      </c>
      <c r="I772" s="9">
        <f t="shared" si="58"/>
        <v>43.40000000000002</v>
      </c>
      <c r="J772" s="10">
        <f t="shared" si="46"/>
        <v>0.95000000000000084</v>
      </c>
      <c r="K772" s="9">
        <f t="shared" si="59"/>
        <v>25.22000000000002</v>
      </c>
      <c r="L772" s="10">
        <f t="shared" si="48"/>
        <v>0.16101314107973919</v>
      </c>
      <c r="M772" s="9">
        <f t="shared" si="60"/>
        <v>49.080000000000048</v>
      </c>
      <c r="N772" s="10">
        <f t="shared" si="50"/>
        <v>-5.0515487987679304</v>
      </c>
      <c r="O772" s="9">
        <f t="shared" si="61"/>
        <v>25.180000000000035</v>
      </c>
      <c r="P772" s="10">
        <f t="shared" si="53"/>
        <v>1.1721006467617506E-2</v>
      </c>
      <c r="Q772" s="9">
        <f t="shared" si="62"/>
        <v>48.199999999999932</v>
      </c>
      <c r="R772" s="10">
        <f t="shared" si="54"/>
        <v>-1.5033411488862836</v>
      </c>
    </row>
    <row r="773" spans="3:18" x14ac:dyDescent="0.25">
      <c r="C773" s="9">
        <f t="shared" si="55"/>
        <v>24.976000000000028</v>
      </c>
      <c r="D773" s="10">
        <f t="shared" si="40"/>
        <v>0.49675345469590537</v>
      </c>
      <c r="E773" s="9">
        <f t="shared" si="56"/>
        <v>54.313999999999965</v>
      </c>
      <c r="F773" s="10">
        <f t="shared" si="42"/>
        <v>-8.1889299741629618</v>
      </c>
      <c r="G773" s="9">
        <f t="shared" si="57"/>
        <v>24.676000000000027</v>
      </c>
      <c r="H773" s="10">
        <f t="shared" si="44"/>
        <v>0.8513635681769941</v>
      </c>
      <c r="I773" s="9">
        <f t="shared" si="58"/>
        <v>43.960000000000022</v>
      </c>
      <c r="J773" s="10">
        <f t="shared" si="46"/>
        <v>0.98500000000000099</v>
      </c>
      <c r="K773" s="9">
        <f t="shared" si="59"/>
        <v>25.453000000000021</v>
      </c>
      <c r="L773" s="10">
        <f t="shared" si="48"/>
        <v>0.16644248547247664</v>
      </c>
      <c r="M773" s="9">
        <f t="shared" si="60"/>
        <v>49.677000000000049</v>
      </c>
      <c r="N773" s="10">
        <f t="shared" si="50"/>
        <v>-5.0560310354108351</v>
      </c>
      <c r="O773" s="9">
        <f t="shared" si="61"/>
        <v>25.422000000000036</v>
      </c>
      <c r="P773" s="10">
        <f t="shared" si="53"/>
        <v>1.0705258261716907E-2</v>
      </c>
      <c r="Q773" s="9">
        <f t="shared" si="62"/>
        <v>48.77999999999993</v>
      </c>
      <c r="R773" s="10">
        <f t="shared" si="54"/>
        <v>-1.502831184056272</v>
      </c>
    </row>
    <row r="774" spans="3:18" x14ac:dyDescent="0.25">
      <c r="C774" s="9">
        <f t="shared" si="55"/>
        <v>25.212000000000028</v>
      </c>
      <c r="D774" s="10">
        <f t="shared" si="40"/>
        <v>0.50956648738105215</v>
      </c>
      <c r="E774" s="9">
        <f t="shared" si="56"/>
        <v>54.667999999999964</v>
      </c>
      <c r="F774" s="10">
        <f t="shared" si="42"/>
        <v>-8.1422179030526074</v>
      </c>
      <c r="G774" s="9">
        <f t="shared" si="57"/>
        <v>24.912000000000027</v>
      </c>
      <c r="H774" s="10">
        <f t="shared" si="44"/>
        <v>0.85657486142887518</v>
      </c>
      <c r="I774" s="9">
        <f t="shared" si="58"/>
        <v>44.520000000000024</v>
      </c>
      <c r="J774" s="10">
        <f t="shared" si="46"/>
        <v>1.0200000000000011</v>
      </c>
      <c r="K774" s="9">
        <f t="shared" si="59"/>
        <v>25.686000000000021</v>
      </c>
      <c r="L774" s="10">
        <f t="shared" si="48"/>
        <v>0.1718718298652141</v>
      </c>
      <c r="M774" s="9">
        <f t="shared" si="60"/>
        <v>50.274000000000051</v>
      </c>
      <c r="N774" s="10">
        <f t="shared" si="50"/>
        <v>-5.0605132720537398</v>
      </c>
      <c r="O774" s="9">
        <f t="shared" si="61"/>
        <v>25.664000000000037</v>
      </c>
      <c r="P774" s="10">
        <f t="shared" si="53"/>
        <v>9.6895100558163083E-3</v>
      </c>
      <c r="Q774" s="9">
        <f t="shared" si="62"/>
        <v>49.359999999999928</v>
      </c>
      <c r="R774" s="10">
        <f t="shared" si="54"/>
        <v>-1.5023212192262603</v>
      </c>
    </row>
    <row r="775" spans="3:18" x14ac:dyDescent="0.25">
      <c r="C775" s="9">
        <f t="shared" si="55"/>
        <v>25.448000000000029</v>
      </c>
      <c r="D775" s="10">
        <f t="shared" si="40"/>
        <v>0.52237952006619914</v>
      </c>
      <c r="E775" s="9">
        <f t="shared" si="56"/>
        <v>55.021999999999963</v>
      </c>
      <c r="F775" s="10">
        <f t="shared" si="42"/>
        <v>-8.0955058319422513</v>
      </c>
      <c r="G775" s="9">
        <f t="shared" si="57"/>
        <v>25.148000000000028</v>
      </c>
      <c r="H775" s="10">
        <f t="shared" si="44"/>
        <v>0.86178615468075614</v>
      </c>
      <c r="I775" s="9">
        <f t="shared" si="58"/>
        <v>45.080000000000027</v>
      </c>
      <c r="J775" s="10">
        <f t="shared" si="46"/>
        <v>1.0550000000000013</v>
      </c>
      <c r="K775" s="9">
        <f t="shared" si="59"/>
        <v>25.919000000000022</v>
      </c>
      <c r="L775" s="10">
        <f t="shared" si="48"/>
        <v>0.17730117425795155</v>
      </c>
      <c r="M775" s="9">
        <f t="shared" si="60"/>
        <v>50.871000000000052</v>
      </c>
      <c r="N775" s="10">
        <f t="shared" si="50"/>
        <v>-5.0649955086966445</v>
      </c>
      <c r="O775" s="9">
        <f t="shared" si="61"/>
        <v>25.906000000000038</v>
      </c>
      <c r="P775" s="10">
        <f t="shared" si="53"/>
        <v>8.6737618499157093E-3</v>
      </c>
      <c r="Q775" s="9">
        <f t="shared" si="62"/>
        <v>49.939999999999927</v>
      </c>
      <c r="R775" s="10">
        <f t="shared" si="54"/>
        <v>-1.5018112543962485</v>
      </c>
    </row>
    <row r="776" spans="3:18" x14ac:dyDescent="0.25">
      <c r="C776" s="9">
        <f t="shared" si="55"/>
        <v>25.684000000000029</v>
      </c>
      <c r="D776" s="10">
        <f t="shared" si="40"/>
        <v>0.53519255275134614</v>
      </c>
      <c r="E776" s="9">
        <f t="shared" si="56"/>
        <v>55.375999999999962</v>
      </c>
      <c r="F776" s="10">
        <f t="shared" si="42"/>
        <v>-8.0487937608318969</v>
      </c>
      <c r="G776" s="9">
        <f t="shared" si="57"/>
        <v>25.384000000000029</v>
      </c>
      <c r="H776" s="10">
        <f t="shared" si="44"/>
        <v>0.86699744793263722</v>
      </c>
      <c r="I776" s="9">
        <f t="shared" si="58"/>
        <v>45.640000000000029</v>
      </c>
      <c r="J776" s="10">
        <f t="shared" si="46"/>
        <v>1.0900000000000014</v>
      </c>
      <c r="K776" s="9">
        <f t="shared" si="59"/>
        <v>26.152000000000022</v>
      </c>
      <c r="L776" s="10">
        <f t="shared" si="48"/>
        <v>0.18273051865068901</v>
      </c>
      <c r="M776" s="9">
        <f t="shared" si="60"/>
        <v>51.468000000000053</v>
      </c>
      <c r="N776" s="10">
        <f t="shared" si="50"/>
        <v>-5.0694777453395501</v>
      </c>
      <c r="O776" s="9">
        <f t="shared" si="61"/>
        <v>26.148000000000039</v>
      </c>
      <c r="P776" s="10">
        <f t="shared" si="53"/>
        <v>7.6580136440151103E-3</v>
      </c>
      <c r="Q776" s="9">
        <f t="shared" si="62"/>
        <v>50.519999999999925</v>
      </c>
      <c r="R776" s="10">
        <f t="shared" si="54"/>
        <v>-1.5013012895662368</v>
      </c>
    </row>
    <row r="777" spans="3:18" x14ac:dyDescent="0.25">
      <c r="C777" s="9">
        <f t="shared" si="55"/>
        <v>25.92000000000003</v>
      </c>
      <c r="D777" s="10">
        <f t="shared" si="40"/>
        <v>0.54800558543649291</v>
      </c>
      <c r="E777" s="9">
        <f t="shared" si="56"/>
        <v>55.729999999999961</v>
      </c>
      <c r="F777" s="10">
        <f t="shared" si="42"/>
        <v>-8.0020816897215425</v>
      </c>
      <c r="G777" s="9">
        <f t="shared" si="57"/>
        <v>25.620000000000029</v>
      </c>
      <c r="H777" s="10">
        <f t="shared" si="44"/>
        <v>0.8722087411845183</v>
      </c>
      <c r="I777" s="9">
        <f t="shared" si="58"/>
        <v>46.200000000000031</v>
      </c>
      <c r="J777" s="10">
        <f t="shared" si="46"/>
        <v>1.1250000000000016</v>
      </c>
      <c r="K777" s="9">
        <f t="shared" si="59"/>
        <v>26.385000000000023</v>
      </c>
      <c r="L777" s="10">
        <f t="shared" si="48"/>
        <v>0.18815986304342647</v>
      </c>
      <c r="M777" s="9">
        <f t="shared" si="60"/>
        <v>52.065000000000055</v>
      </c>
      <c r="N777" s="10">
        <f t="shared" si="50"/>
        <v>-5.0739599819824548</v>
      </c>
      <c r="O777" s="9">
        <f t="shared" si="61"/>
        <v>26.39000000000004</v>
      </c>
      <c r="P777" s="10">
        <f t="shared" si="53"/>
        <v>6.6422654381145113E-3</v>
      </c>
      <c r="Q777" s="9">
        <f t="shared" si="62"/>
        <v>51.099999999999923</v>
      </c>
      <c r="R777" s="10">
        <f t="shared" si="54"/>
        <v>-1.500791324736225</v>
      </c>
    </row>
    <row r="778" spans="3:18" x14ac:dyDescent="0.25">
      <c r="C778" s="9">
        <f t="shared" si="55"/>
        <v>26.156000000000031</v>
      </c>
      <c r="D778" s="10">
        <f t="shared" si="40"/>
        <v>0.56081861812163991</v>
      </c>
      <c r="E778" s="9">
        <f t="shared" si="56"/>
        <v>56.083999999999961</v>
      </c>
      <c r="F778" s="10">
        <f t="shared" si="42"/>
        <v>-7.9553696186111873</v>
      </c>
      <c r="G778" s="9">
        <f t="shared" si="57"/>
        <v>25.85600000000003</v>
      </c>
      <c r="H778" s="10">
        <f t="shared" si="44"/>
        <v>0.87742003443639927</v>
      </c>
      <c r="I778" s="9">
        <f t="shared" si="58"/>
        <v>46.760000000000034</v>
      </c>
      <c r="J778" s="10">
        <f t="shared" si="46"/>
        <v>1.1600000000000017</v>
      </c>
      <c r="K778" s="9">
        <f t="shared" si="59"/>
        <v>26.618000000000023</v>
      </c>
      <c r="L778" s="10">
        <f t="shared" si="48"/>
        <v>0.19358920743616392</v>
      </c>
      <c r="M778" s="9">
        <f t="shared" si="60"/>
        <v>52.662000000000056</v>
      </c>
      <c r="N778" s="10">
        <f t="shared" si="50"/>
        <v>-5.0784422186253595</v>
      </c>
      <c r="O778" s="9">
        <f t="shared" si="61"/>
        <v>26.632000000000041</v>
      </c>
      <c r="P778" s="10">
        <f t="shared" si="53"/>
        <v>5.6265172322139123E-3</v>
      </c>
      <c r="Q778" s="9">
        <f t="shared" si="62"/>
        <v>51.679999999999922</v>
      </c>
      <c r="R778" s="10">
        <f t="shared" si="54"/>
        <v>-1.5002813599062135</v>
      </c>
    </row>
    <row r="779" spans="3:18" x14ac:dyDescent="0.25">
      <c r="C779" s="9">
        <f t="shared" si="55"/>
        <v>26.392000000000031</v>
      </c>
      <c r="D779" s="10">
        <f t="shared" si="40"/>
        <v>0.57363165080678691</v>
      </c>
      <c r="E779" s="9">
        <f t="shared" si="56"/>
        <v>56.43799999999996</v>
      </c>
      <c r="F779" s="10">
        <f t="shared" si="42"/>
        <v>-7.9086575475008321</v>
      </c>
      <c r="G779" s="9">
        <f t="shared" si="57"/>
        <v>26.092000000000031</v>
      </c>
      <c r="H779" s="10">
        <f t="shared" si="44"/>
        <v>0.88263132768828034</v>
      </c>
      <c r="I779" s="9">
        <f t="shared" si="58"/>
        <v>47.320000000000036</v>
      </c>
      <c r="J779" s="10">
        <f t="shared" si="46"/>
        <v>1.1950000000000018</v>
      </c>
      <c r="K779" s="9">
        <f t="shared" si="59"/>
        <v>26.851000000000024</v>
      </c>
      <c r="L779" s="10">
        <f t="shared" si="48"/>
        <v>0.19901855182890138</v>
      </c>
      <c r="M779" s="9">
        <f t="shared" si="60"/>
        <v>53.259000000000057</v>
      </c>
      <c r="N779" s="10">
        <f t="shared" si="50"/>
        <v>-5.0829244552682642</v>
      </c>
      <c r="O779" s="9">
        <f t="shared" si="61"/>
        <v>26.874000000000041</v>
      </c>
      <c r="P779" s="10">
        <f t="shared" si="53"/>
        <v>4.6107690263133272E-3</v>
      </c>
      <c r="Q779" s="9">
        <f t="shared" si="62"/>
        <v>52.25999999999992</v>
      </c>
      <c r="R779" s="10">
        <f t="shared" si="54"/>
        <v>-1.4997713950762017</v>
      </c>
    </row>
    <row r="780" spans="3:18" x14ac:dyDescent="0.25">
      <c r="C780" s="9">
        <f t="shared" si="55"/>
        <v>26.628000000000032</v>
      </c>
      <c r="D780" s="10">
        <f t="shared" si="40"/>
        <v>0.58644468349193368</v>
      </c>
      <c r="E780" s="9">
        <f t="shared" si="56"/>
        <v>56.791999999999959</v>
      </c>
      <c r="F780" s="10">
        <f t="shared" si="42"/>
        <v>-7.8619454763904777</v>
      </c>
      <c r="G780" s="9">
        <f t="shared" si="57"/>
        <v>26.328000000000031</v>
      </c>
      <c r="H780" s="10">
        <f t="shared" si="44"/>
        <v>0.88784262094016142</v>
      </c>
      <c r="I780" s="9">
        <f t="shared" si="58"/>
        <v>47.880000000000038</v>
      </c>
      <c r="J780" s="10">
        <f t="shared" si="46"/>
        <v>1.230000000000002</v>
      </c>
      <c r="K780" s="9">
        <f t="shared" si="59"/>
        <v>27.084000000000024</v>
      </c>
      <c r="L780" s="10">
        <f t="shared" si="48"/>
        <v>0.20444789622163873</v>
      </c>
      <c r="M780" s="9">
        <f t="shared" si="60"/>
        <v>53.856000000000058</v>
      </c>
      <c r="N780" s="10">
        <f t="shared" si="50"/>
        <v>-5.0874066919111698</v>
      </c>
      <c r="O780" s="9">
        <f t="shared" si="61"/>
        <v>27.116000000000042</v>
      </c>
      <c r="P780" s="10">
        <f t="shared" si="53"/>
        <v>3.5950208204127282E-3</v>
      </c>
      <c r="Q780" s="9">
        <f t="shared" si="62"/>
        <v>52.839999999999918</v>
      </c>
      <c r="R780" s="10">
        <f t="shared" si="54"/>
        <v>-1.49926143024619</v>
      </c>
    </row>
    <row r="781" spans="3:18" x14ac:dyDescent="0.25">
      <c r="C781" s="9">
        <f t="shared" si="55"/>
        <v>26.864000000000033</v>
      </c>
      <c r="D781" s="10">
        <f t="shared" si="40"/>
        <v>0.59925771617708068</v>
      </c>
      <c r="E781" s="9">
        <f t="shared" si="56"/>
        <v>57.145999999999958</v>
      </c>
      <c r="F781" s="10">
        <f t="shared" si="42"/>
        <v>-7.8152334052801224</v>
      </c>
      <c r="G781" s="9">
        <f t="shared" si="57"/>
        <v>26.564000000000032</v>
      </c>
      <c r="H781" s="10">
        <f t="shared" si="44"/>
        <v>0.8930539141920425</v>
      </c>
      <c r="I781" s="9">
        <f t="shared" si="58"/>
        <v>48.44000000000004</v>
      </c>
      <c r="J781" s="10">
        <f t="shared" si="46"/>
        <v>1.2650000000000026</v>
      </c>
      <c r="K781" s="9">
        <f t="shared" si="59"/>
        <v>27.317000000000025</v>
      </c>
      <c r="L781" s="10">
        <f t="shared" si="48"/>
        <v>0.20987724061437618</v>
      </c>
      <c r="M781" s="9">
        <f t="shared" si="60"/>
        <v>54.45300000000006</v>
      </c>
      <c r="N781" s="10">
        <f t="shared" si="50"/>
        <v>-5.0918889285540745</v>
      </c>
      <c r="O781" s="9">
        <f t="shared" si="61"/>
        <v>27.358000000000043</v>
      </c>
      <c r="P781" s="10">
        <f t="shared" si="53"/>
        <v>2.5792726145121292E-3</v>
      </c>
      <c r="Q781" s="9">
        <f t="shared" si="62"/>
        <v>53.419999999999916</v>
      </c>
      <c r="R781" s="10">
        <f t="shared" si="54"/>
        <v>-1.4987514654161782</v>
      </c>
    </row>
    <row r="782" spans="3:18" x14ac:dyDescent="0.25">
      <c r="C782" s="9">
        <f t="shared" si="55"/>
        <v>27.100000000000033</v>
      </c>
      <c r="D782" s="10">
        <f t="shared" si="40"/>
        <v>0.61207074886222745</v>
      </c>
      <c r="E782" s="9">
        <f t="shared" si="56"/>
        <v>57.499999999999957</v>
      </c>
      <c r="F782" s="10">
        <f t="shared" si="42"/>
        <v>-7.7685213341697681</v>
      </c>
      <c r="G782" s="9">
        <f t="shared" si="57"/>
        <v>26.800000000000033</v>
      </c>
      <c r="H782" s="10">
        <f t="shared" si="44"/>
        <v>0.89826520744392346</v>
      </c>
      <c r="I782" s="9">
        <f t="shared" si="58"/>
        <v>49.000000000000043</v>
      </c>
      <c r="J782" s="10">
        <f t="shared" si="46"/>
        <v>1.3000000000000027</v>
      </c>
      <c r="K782" s="9">
        <f t="shared" si="59"/>
        <v>27.550000000000026</v>
      </c>
      <c r="L782" s="10">
        <f t="shared" si="48"/>
        <v>0.21530658500711364</v>
      </c>
      <c r="M782" s="9">
        <f t="shared" si="60"/>
        <v>55.050000000000061</v>
      </c>
      <c r="N782" s="10">
        <f t="shared" si="50"/>
        <v>-5.0963711651969792</v>
      </c>
      <c r="O782" s="9">
        <f t="shared" si="61"/>
        <v>27.600000000000044</v>
      </c>
      <c r="P782" s="10">
        <f t="shared" si="53"/>
        <v>1.5635244086115302E-3</v>
      </c>
      <c r="Q782" s="9">
        <f t="shared" si="62"/>
        <v>53.999999999999915</v>
      </c>
      <c r="R782" s="10">
        <f t="shared" si="54"/>
        <v>-1.4982415005861665</v>
      </c>
    </row>
    <row r="783" spans="3:18" x14ac:dyDescent="0.25">
      <c r="C783" s="9">
        <f t="shared" si="55"/>
        <v>27.336000000000034</v>
      </c>
      <c r="D783" s="10">
        <f t="shared" si="40"/>
        <v>0.62488378154737445</v>
      </c>
      <c r="E783" s="9">
        <f t="shared" si="56"/>
        <v>57.853999999999957</v>
      </c>
      <c r="F783" s="10">
        <f t="shared" si="42"/>
        <v>-7.7218092630594128</v>
      </c>
      <c r="G783" s="9">
        <f t="shared" si="57"/>
        <v>27.036000000000033</v>
      </c>
      <c r="H783" s="10">
        <f t="shared" si="44"/>
        <v>0.90347650069580454</v>
      </c>
      <c r="I783" s="9">
        <f t="shared" si="58"/>
        <v>49.560000000000045</v>
      </c>
      <c r="J783" s="10">
        <f t="shared" si="46"/>
        <v>1.3350000000000029</v>
      </c>
      <c r="K783" s="9">
        <f t="shared" si="59"/>
        <v>27.783000000000026</v>
      </c>
      <c r="L783" s="10">
        <f t="shared" si="48"/>
        <v>0.22073592939985109</v>
      </c>
      <c r="M783" s="9">
        <f t="shared" si="60"/>
        <v>55.647000000000062</v>
      </c>
      <c r="N783" s="10">
        <f t="shared" si="50"/>
        <v>-5.1008534018398848</v>
      </c>
      <c r="O783" s="9">
        <f t="shared" si="61"/>
        <v>27.842000000000045</v>
      </c>
      <c r="P783" s="10">
        <f t="shared" si="53"/>
        <v>5.4777620271093119E-4</v>
      </c>
      <c r="Q783" s="9">
        <f t="shared" si="62"/>
        <v>54.579999999999913</v>
      </c>
      <c r="R783" s="10">
        <f t="shared" si="54"/>
        <v>-1.4977315357561547</v>
      </c>
    </row>
    <row r="784" spans="3:18" x14ac:dyDescent="0.25">
      <c r="C784" s="9">
        <f t="shared" si="55"/>
        <v>27.572000000000035</v>
      </c>
      <c r="D784" s="10">
        <f t="shared" si="40"/>
        <v>0.63769681423252145</v>
      </c>
      <c r="E784" s="9">
        <f t="shared" si="56"/>
        <v>58.207999999999956</v>
      </c>
      <c r="F784" s="10">
        <f t="shared" si="42"/>
        <v>-7.6750971919490576</v>
      </c>
      <c r="G784" s="9">
        <f t="shared" si="57"/>
        <v>27.272000000000034</v>
      </c>
      <c r="H784" s="10">
        <f t="shared" si="44"/>
        <v>0.90868779394768562</v>
      </c>
      <c r="I784" s="9">
        <f t="shared" si="58"/>
        <v>50.120000000000047</v>
      </c>
      <c r="J784" s="10">
        <f t="shared" si="46"/>
        <v>1.370000000000003</v>
      </c>
      <c r="K784" s="9">
        <f t="shared" si="59"/>
        <v>28.016000000000027</v>
      </c>
      <c r="L784" s="10">
        <f t="shared" si="48"/>
        <v>0.22616527379258855</v>
      </c>
      <c r="M784" s="9">
        <f t="shared" si="60"/>
        <v>56.244000000000064</v>
      </c>
      <c r="N784" s="10">
        <f t="shared" si="50"/>
        <v>-5.1053356384827895</v>
      </c>
      <c r="O784" s="9">
        <f t="shared" si="61"/>
        <v>28.084000000000046</v>
      </c>
      <c r="P784" s="10">
        <f t="shared" si="53"/>
        <v>-4.6797200318966781E-4</v>
      </c>
      <c r="Q784" s="9">
        <f t="shared" si="62"/>
        <v>55.159999999999911</v>
      </c>
      <c r="R784" s="10">
        <f t="shared" si="54"/>
        <v>-1.4972215709261432</v>
      </c>
    </row>
    <row r="785" spans="3:18" x14ac:dyDescent="0.25">
      <c r="C785" s="9">
        <f t="shared" si="55"/>
        <v>27.808000000000035</v>
      </c>
      <c r="D785" s="10">
        <f t="shared" si="40"/>
        <v>0.65050984691766822</v>
      </c>
      <c r="E785" s="9">
        <f t="shared" si="56"/>
        <v>58.561999999999955</v>
      </c>
      <c r="F785" s="10">
        <f t="shared" si="42"/>
        <v>-7.6283851208387032</v>
      </c>
      <c r="G785" s="9">
        <f t="shared" si="57"/>
        <v>27.508000000000035</v>
      </c>
      <c r="H785" s="10">
        <f t="shared" si="44"/>
        <v>0.91389908719956658</v>
      </c>
      <c r="I785" s="9">
        <f t="shared" si="58"/>
        <v>50.680000000000049</v>
      </c>
      <c r="J785" s="10">
        <f t="shared" si="46"/>
        <v>1.4050000000000031</v>
      </c>
      <c r="K785" s="9">
        <f t="shared" si="59"/>
        <v>28.249000000000027</v>
      </c>
      <c r="L785" s="10">
        <f t="shared" si="48"/>
        <v>0.23159461818532601</v>
      </c>
      <c r="M785" s="9">
        <f t="shared" si="60"/>
        <v>56.841000000000065</v>
      </c>
      <c r="N785" s="10">
        <f t="shared" si="50"/>
        <v>-5.1098178751256942</v>
      </c>
      <c r="O785" s="9">
        <f t="shared" si="61"/>
        <v>28.326000000000047</v>
      </c>
      <c r="P785" s="10">
        <f t="shared" si="53"/>
        <v>-1.4837202090902668E-3</v>
      </c>
      <c r="Q785" s="9">
        <f t="shared" si="62"/>
        <v>55.73999999999991</v>
      </c>
      <c r="R785" s="10">
        <f t="shared" si="54"/>
        <v>-1.4967116060961314</v>
      </c>
    </row>
    <row r="786" spans="3:18" x14ac:dyDescent="0.25">
      <c r="C786" s="9">
        <f t="shared" si="55"/>
        <v>28.044000000000036</v>
      </c>
      <c r="D786" s="10">
        <f t="shared" si="40"/>
        <v>0.66332287960281522</v>
      </c>
      <c r="E786" s="9">
        <f t="shared" si="56"/>
        <v>58.915999999999954</v>
      </c>
      <c r="F786" s="10">
        <f t="shared" si="42"/>
        <v>-7.581673049728348</v>
      </c>
      <c r="G786" s="9">
        <f t="shared" si="57"/>
        <v>27.744000000000035</v>
      </c>
      <c r="H786" s="10">
        <f t="shared" si="44"/>
        <v>0.91911038045144766</v>
      </c>
      <c r="I786" s="9">
        <f t="shared" si="58"/>
        <v>51.240000000000052</v>
      </c>
      <c r="J786" s="10">
        <f t="shared" si="46"/>
        <v>1.4400000000000033</v>
      </c>
      <c r="K786" s="9">
        <f t="shared" si="59"/>
        <v>28.482000000000028</v>
      </c>
      <c r="L786" s="10">
        <f t="shared" si="48"/>
        <v>0.23702396257806346</v>
      </c>
      <c r="M786" s="9">
        <f t="shared" si="60"/>
        <v>57.438000000000066</v>
      </c>
      <c r="N786" s="10">
        <f t="shared" si="50"/>
        <v>-5.1143001117685989</v>
      </c>
      <c r="O786" s="9">
        <f t="shared" si="61"/>
        <v>28.568000000000048</v>
      </c>
      <c r="P786" s="10">
        <f t="shared" si="53"/>
        <v>-2.4994684149908658E-3</v>
      </c>
      <c r="Q786" s="9">
        <f t="shared" si="62"/>
        <v>56.319999999999908</v>
      </c>
      <c r="R786" s="10">
        <f t="shared" si="54"/>
        <v>-1.4962016412661197</v>
      </c>
    </row>
    <row r="787" spans="3:18" x14ac:dyDescent="0.25">
      <c r="C787" s="9">
        <f t="shared" si="55"/>
        <v>28.280000000000037</v>
      </c>
      <c r="D787" s="10">
        <f t="shared" si="40"/>
        <v>0.67613591228796222</v>
      </c>
      <c r="E787" s="9">
        <f t="shared" si="56"/>
        <v>59.269999999999953</v>
      </c>
      <c r="F787" s="10">
        <f t="shared" si="42"/>
        <v>-7.5349609786179927</v>
      </c>
      <c r="G787" s="9">
        <f t="shared" si="57"/>
        <v>27.980000000000036</v>
      </c>
      <c r="H787" s="10">
        <f t="shared" si="44"/>
        <v>0.92432167370332874</v>
      </c>
      <c r="I787" s="9">
        <f t="shared" si="58"/>
        <v>51.800000000000054</v>
      </c>
      <c r="J787" s="10">
        <f t="shared" si="46"/>
        <v>1.4750000000000034</v>
      </c>
      <c r="K787" s="9">
        <f t="shared" si="59"/>
        <v>28.715000000000028</v>
      </c>
      <c r="L787" s="10">
        <f t="shared" si="48"/>
        <v>0.24245330697080092</v>
      </c>
      <c r="M787" s="9">
        <f t="shared" si="60"/>
        <v>58.035000000000068</v>
      </c>
      <c r="N787" s="10">
        <f t="shared" si="50"/>
        <v>-5.1187823484115045</v>
      </c>
      <c r="O787" s="9">
        <f t="shared" si="61"/>
        <v>28.810000000000048</v>
      </c>
      <c r="P787" s="10">
        <f t="shared" si="53"/>
        <v>-3.5152166208914509E-3</v>
      </c>
      <c r="Q787" s="9">
        <f t="shared" si="62"/>
        <v>56.899999999999906</v>
      </c>
      <c r="R787" s="10">
        <f t="shared" si="54"/>
        <v>-1.4956916764361079</v>
      </c>
    </row>
    <row r="788" spans="3:18" x14ac:dyDescent="0.25">
      <c r="C788" s="9">
        <f t="shared" si="55"/>
        <v>28.516000000000037</v>
      </c>
      <c r="D788" s="10">
        <f t="shared" si="40"/>
        <v>0.68894894497310899</v>
      </c>
      <c r="E788" s="9">
        <f t="shared" si="56"/>
        <v>59.623999999999953</v>
      </c>
      <c r="F788" s="10">
        <f t="shared" si="42"/>
        <v>-7.4882489075076384</v>
      </c>
      <c r="G788" s="9">
        <f t="shared" si="57"/>
        <v>28.216000000000037</v>
      </c>
      <c r="H788" s="10">
        <f t="shared" si="44"/>
        <v>0.92953296695520971</v>
      </c>
      <c r="I788" s="9">
        <f t="shared" si="58"/>
        <v>52.360000000000056</v>
      </c>
      <c r="J788" s="10">
        <f t="shared" si="46"/>
        <v>1.5100000000000036</v>
      </c>
      <c r="K788" s="9">
        <f t="shared" si="59"/>
        <v>28.948000000000029</v>
      </c>
      <c r="L788" s="10">
        <f t="shared" si="48"/>
        <v>0.24788265136353838</v>
      </c>
      <c r="M788" s="9">
        <f t="shared" si="60"/>
        <v>58.632000000000069</v>
      </c>
      <c r="N788" s="10">
        <f t="shared" si="50"/>
        <v>-5.1232645850544092</v>
      </c>
      <c r="O788" s="9">
        <f t="shared" si="61"/>
        <v>29.052000000000049</v>
      </c>
      <c r="P788" s="10">
        <f t="shared" si="53"/>
        <v>-4.5309648267920499E-3</v>
      </c>
      <c r="Q788" s="9">
        <f t="shared" si="62"/>
        <v>57.479999999999905</v>
      </c>
      <c r="R788" s="10">
        <f t="shared" si="54"/>
        <v>-1.4951817116060961</v>
      </c>
    </row>
    <row r="789" spans="3:18" x14ac:dyDescent="0.25">
      <c r="C789" s="9">
        <f t="shared" si="55"/>
        <v>28.752000000000038</v>
      </c>
      <c r="D789" s="10">
        <f t="shared" si="40"/>
        <v>0.70176197765825599</v>
      </c>
      <c r="E789" s="9">
        <f t="shared" si="56"/>
        <v>59.977999999999952</v>
      </c>
      <c r="F789" s="10">
        <f t="shared" si="42"/>
        <v>-7.4415368363972831</v>
      </c>
      <c r="G789" s="9">
        <f t="shared" si="57"/>
        <v>28.452000000000037</v>
      </c>
      <c r="H789" s="10">
        <f t="shared" si="44"/>
        <v>0.93474426020709078</v>
      </c>
      <c r="I789" s="9">
        <f t="shared" si="58"/>
        <v>52.920000000000059</v>
      </c>
      <c r="J789" s="10">
        <f t="shared" si="46"/>
        <v>1.5450000000000037</v>
      </c>
      <c r="K789" s="9">
        <f t="shared" si="59"/>
        <v>29.181000000000029</v>
      </c>
      <c r="L789" s="10">
        <f t="shared" si="48"/>
        <v>0.25331199575627583</v>
      </c>
      <c r="M789" s="9">
        <f t="shared" si="60"/>
        <v>59.22900000000007</v>
      </c>
      <c r="N789" s="10">
        <f t="shared" si="50"/>
        <v>-5.1277468216973139</v>
      </c>
      <c r="O789" s="9">
        <f t="shared" si="61"/>
        <v>29.29400000000005</v>
      </c>
      <c r="P789" s="10">
        <f t="shared" si="53"/>
        <v>-5.5467130326926489E-3</v>
      </c>
      <c r="Q789" s="9">
        <f t="shared" si="62"/>
        <v>58.059999999999903</v>
      </c>
      <c r="R789" s="10">
        <f t="shared" si="54"/>
        <v>-1.4946717467760846</v>
      </c>
    </row>
    <row r="790" spans="3:18" x14ac:dyDescent="0.25">
      <c r="C790" s="9">
        <f t="shared" si="55"/>
        <v>28.988000000000039</v>
      </c>
      <c r="D790" s="10">
        <f t="shared" si="40"/>
        <v>0.71457501034340276</v>
      </c>
      <c r="E790" s="9">
        <f t="shared" si="56"/>
        <v>60.331999999999951</v>
      </c>
      <c r="F790" s="10">
        <f t="shared" si="42"/>
        <v>-7.3948247652869279</v>
      </c>
      <c r="G790" s="9">
        <f t="shared" si="57"/>
        <v>28.688000000000038</v>
      </c>
      <c r="H790" s="10">
        <f t="shared" si="44"/>
        <v>0.93995555345897186</v>
      </c>
      <c r="I790" s="9">
        <f t="shared" si="58"/>
        <v>53.480000000000061</v>
      </c>
      <c r="J790" s="10">
        <f t="shared" si="46"/>
        <v>1.5800000000000038</v>
      </c>
      <c r="K790" s="9">
        <f t="shared" si="59"/>
        <v>29.41400000000003</v>
      </c>
      <c r="L790" s="10">
        <f t="shared" si="48"/>
        <v>0.25874134014901329</v>
      </c>
      <c r="M790" s="9">
        <f t="shared" si="60"/>
        <v>59.826000000000072</v>
      </c>
      <c r="N790" s="10">
        <f t="shared" si="50"/>
        <v>-5.1322290583402186</v>
      </c>
      <c r="O790" s="9">
        <f t="shared" si="61"/>
        <v>29.536000000000051</v>
      </c>
      <c r="P790" s="10">
        <f t="shared" si="53"/>
        <v>-6.5624612385932479E-3</v>
      </c>
      <c r="Q790" s="9">
        <f t="shared" si="62"/>
        <v>58.639999999999901</v>
      </c>
      <c r="R790" s="10">
        <f t="shared" si="54"/>
        <v>-1.4941617819460729</v>
      </c>
    </row>
    <row r="791" spans="3:18" x14ac:dyDescent="0.25">
      <c r="C791" s="9">
        <f t="shared" si="55"/>
        <v>29.224000000000039</v>
      </c>
      <c r="D791" s="10">
        <f t="shared" si="40"/>
        <v>0.72738804302854976</v>
      </c>
      <c r="E791" s="9">
        <f t="shared" si="56"/>
        <v>60.68599999999995</v>
      </c>
      <c r="F791" s="10">
        <f t="shared" si="42"/>
        <v>-7.3481126941765726</v>
      </c>
      <c r="G791" s="9">
        <f t="shared" si="57"/>
        <v>28.924000000000039</v>
      </c>
      <c r="H791" s="10">
        <f t="shared" si="44"/>
        <v>0.94516684671085294</v>
      </c>
      <c r="I791" s="9">
        <f t="shared" si="58"/>
        <v>54.040000000000063</v>
      </c>
      <c r="J791" s="10">
        <f t="shared" si="46"/>
        <v>1.615000000000004</v>
      </c>
      <c r="K791" s="9">
        <f t="shared" si="59"/>
        <v>29.64700000000003</v>
      </c>
      <c r="L791" s="10">
        <f t="shared" si="48"/>
        <v>0.26417068454175074</v>
      </c>
      <c r="M791" s="9">
        <f t="shared" si="60"/>
        <v>60.423000000000073</v>
      </c>
      <c r="N791" s="10">
        <f t="shared" si="50"/>
        <v>-5.1367112949831242</v>
      </c>
      <c r="O791" s="9">
        <f t="shared" si="61"/>
        <v>29.778000000000052</v>
      </c>
      <c r="P791" s="10">
        <f t="shared" si="53"/>
        <v>-7.5782094444938469E-3</v>
      </c>
      <c r="Q791" s="9">
        <f t="shared" si="62"/>
        <v>59.219999999999899</v>
      </c>
      <c r="R791" s="10">
        <f t="shared" si="54"/>
        <v>-1.4936518171160611</v>
      </c>
    </row>
    <row r="792" spans="3:18" x14ac:dyDescent="0.25">
      <c r="C792" s="9">
        <f t="shared" si="55"/>
        <v>29.46000000000004</v>
      </c>
      <c r="D792" s="10">
        <f t="shared" si="40"/>
        <v>0.74020107571369675</v>
      </c>
      <c r="E792" s="9">
        <f t="shared" si="56"/>
        <v>61.039999999999949</v>
      </c>
      <c r="F792" s="10">
        <f t="shared" si="42"/>
        <v>-7.3014006230662183</v>
      </c>
      <c r="G792" s="9">
        <f t="shared" si="57"/>
        <v>29.160000000000039</v>
      </c>
      <c r="H792" s="10">
        <f t="shared" si="44"/>
        <v>0.9503781399627339</v>
      </c>
      <c r="I792" s="9">
        <f t="shared" si="58"/>
        <v>54.600000000000065</v>
      </c>
      <c r="J792" s="10">
        <f t="shared" si="46"/>
        <v>1.6500000000000041</v>
      </c>
      <c r="K792" s="9">
        <f t="shared" si="59"/>
        <v>29.880000000000031</v>
      </c>
      <c r="L792" s="10">
        <f t="shared" si="48"/>
        <v>0.2696000289344882</v>
      </c>
      <c r="M792" s="9">
        <f t="shared" si="60"/>
        <v>61.020000000000074</v>
      </c>
      <c r="N792" s="10">
        <f t="shared" si="50"/>
        <v>-5.1411935316260289</v>
      </c>
      <c r="O792" s="9">
        <f t="shared" si="61"/>
        <v>30.020000000000053</v>
      </c>
      <c r="P792" s="10">
        <f t="shared" si="53"/>
        <v>-8.593957650394432E-3</v>
      </c>
      <c r="Q792" s="9">
        <f t="shared" si="62"/>
        <v>59.799999999999898</v>
      </c>
      <c r="R792" s="10">
        <f t="shared" si="54"/>
        <v>-1.4931418522860493</v>
      </c>
    </row>
    <row r="793" spans="3:18" x14ac:dyDescent="0.25">
      <c r="C793" s="9">
        <f t="shared" si="55"/>
        <v>29.696000000000041</v>
      </c>
      <c r="D793" s="10">
        <f t="shared" si="40"/>
        <v>0.75301410839884353</v>
      </c>
      <c r="E793" s="9">
        <f t="shared" si="56"/>
        <v>61.393999999999949</v>
      </c>
      <c r="F793" s="10">
        <f t="shared" si="42"/>
        <v>-7.2546885519558639</v>
      </c>
      <c r="G793" s="9">
        <f t="shared" si="57"/>
        <v>29.39600000000004</v>
      </c>
      <c r="H793" s="10">
        <f t="shared" si="44"/>
        <v>0.95558943321461498</v>
      </c>
      <c r="I793" s="9">
        <f t="shared" si="58"/>
        <v>55.160000000000068</v>
      </c>
      <c r="J793" s="10">
        <f t="shared" si="46"/>
        <v>1.6850000000000043</v>
      </c>
      <c r="K793" s="9">
        <f t="shared" si="59"/>
        <v>30.113000000000032</v>
      </c>
      <c r="L793" s="10">
        <f t="shared" si="48"/>
        <v>0.27502937332722566</v>
      </c>
      <c r="M793" s="9">
        <f t="shared" si="60"/>
        <v>61.617000000000075</v>
      </c>
      <c r="N793" s="10">
        <f t="shared" si="50"/>
        <v>-5.1456757682689336</v>
      </c>
      <c r="O793" s="9">
        <f t="shared" si="61"/>
        <v>30.262000000000054</v>
      </c>
      <c r="P793" s="10">
        <f t="shared" si="53"/>
        <v>-9.6097058562950449E-3</v>
      </c>
      <c r="Q793" s="9">
        <f t="shared" si="62"/>
        <v>60.379999999999896</v>
      </c>
      <c r="R793" s="10">
        <f t="shared" si="54"/>
        <v>-1.4926318874560376</v>
      </c>
    </row>
    <row r="794" spans="3:18" x14ac:dyDescent="0.25">
      <c r="C794" s="9">
        <f t="shared" si="55"/>
        <v>29.932000000000041</v>
      </c>
      <c r="D794" s="10">
        <f t="shared" si="40"/>
        <v>0.76582714108399053</v>
      </c>
      <c r="E794" s="9">
        <f t="shared" si="56"/>
        <v>61.747999999999948</v>
      </c>
      <c r="F794" s="10">
        <f t="shared" si="42"/>
        <v>-7.2079764808455078</v>
      </c>
      <c r="G794" s="9">
        <f t="shared" si="57"/>
        <v>29.632000000000041</v>
      </c>
      <c r="H794" s="10">
        <f t="shared" si="44"/>
        <v>0.96080072646649606</v>
      </c>
      <c r="I794" s="9">
        <f t="shared" si="58"/>
        <v>55.72000000000007</v>
      </c>
      <c r="J794" s="10">
        <f t="shared" si="46"/>
        <v>1.7200000000000044</v>
      </c>
      <c r="K794" s="9">
        <f t="shared" si="59"/>
        <v>30.346000000000032</v>
      </c>
      <c r="L794" s="10">
        <f t="shared" si="48"/>
        <v>0.28045871771996311</v>
      </c>
      <c r="M794" s="9">
        <f t="shared" si="60"/>
        <v>62.214000000000077</v>
      </c>
      <c r="N794" s="10">
        <f t="shared" si="50"/>
        <v>-5.1501580049118392</v>
      </c>
      <c r="O794" s="9">
        <f t="shared" si="61"/>
        <v>30.504000000000055</v>
      </c>
      <c r="P794" s="10">
        <f t="shared" si="53"/>
        <v>-1.062545406219563E-2</v>
      </c>
      <c r="Q794" s="9">
        <f t="shared" si="62"/>
        <v>60.959999999999894</v>
      </c>
      <c r="R794" s="10">
        <f t="shared" si="54"/>
        <v>-1.4921219226260258</v>
      </c>
    </row>
    <row r="795" spans="3:18" x14ac:dyDescent="0.25">
      <c r="C795" s="9">
        <f t="shared" si="55"/>
        <v>30.168000000000042</v>
      </c>
      <c r="D795" s="10">
        <f t="shared" si="40"/>
        <v>0.7786401737691373</v>
      </c>
      <c r="E795" s="9">
        <f t="shared" si="56"/>
        <v>62.101999999999947</v>
      </c>
      <c r="F795" s="10">
        <f t="shared" si="42"/>
        <v>-7.1612644097351534</v>
      </c>
      <c r="G795" s="9">
        <f t="shared" si="57"/>
        <v>29.868000000000041</v>
      </c>
      <c r="H795" s="10">
        <f t="shared" si="44"/>
        <v>0.96601201971837702</v>
      </c>
      <c r="I795" s="9">
        <f t="shared" si="58"/>
        <v>56.280000000000072</v>
      </c>
      <c r="J795" s="10">
        <f t="shared" si="46"/>
        <v>1.7550000000000046</v>
      </c>
      <c r="K795" s="9">
        <f t="shared" si="59"/>
        <v>30.579000000000033</v>
      </c>
      <c r="L795" s="10">
        <f t="shared" si="48"/>
        <v>0.28588806211270057</v>
      </c>
      <c r="M795" s="9">
        <f t="shared" si="60"/>
        <v>62.811000000000078</v>
      </c>
      <c r="N795" s="10">
        <f t="shared" si="50"/>
        <v>-5.1546402415547439</v>
      </c>
      <c r="O795" s="9">
        <f t="shared" si="61"/>
        <v>30.746000000000056</v>
      </c>
      <c r="P795" s="10">
        <f t="shared" si="53"/>
        <v>-1.1641202268096243E-2</v>
      </c>
      <c r="Q795" s="9">
        <f t="shared" si="62"/>
        <v>61.539999999999893</v>
      </c>
      <c r="R795" s="10">
        <f t="shared" si="54"/>
        <v>-1.4916119577960143</v>
      </c>
    </row>
    <row r="796" spans="3:18" x14ac:dyDescent="0.25">
      <c r="C796" s="9">
        <f t="shared" si="55"/>
        <v>30.404000000000043</v>
      </c>
      <c r="D796" s="10">
        <f t="shared" si="40"/>
        <v>0.7914532064542843</v>
      </c>
      <c r="E796" s="9">
        <f t="shared" si="56"/>
        <v>62.455999999999946</v>
      </c>
      <c r="F796" s="10">
        <f t="shared" si="42"/>
        <v>-7.1145523386247991</v>
      </c>
      <c r="G796" s="9">
        <f t="shared" si="57"/>
        <v>30.104000000000042</v>
      </c>
      <c r="H796" s="10">
        <f t="shared" si="44"/>
        <v>0.9712233129702581</v>
      </c>
      <c r="I796" s="9">
        <f t="shared" si="58"/>
        <v>56.840000000000074</v>
      </c>
      <c r="J796" s="10">
        <f t="shared" si="46"/>
        <v>1.7900000000000047</v>
      </c>
      <c r="K796" s="9">
        <f t="shared" si="59"/>
        <v>30.812000000000033</v>
      </c>
      <c r="L796" s="10">
        <f t="shared" si="48"/>
        <v>0.29131740650543803</v>
      </c>
      <c r="M796" s="9">
        <f t="shared" si="60"/>
        <v>63.408000000000079</v>
      </c>
      <c r="N796" s="10">
        <f t="shared" si="50"/>
        <v>-5.1591224781976486</v>
      </c>
      <c r="O796" s="9">
        <f t="shared" si="61"/>
        <v>30.988000000000056</v>
      </c>
      <c r="P796" s="10">
        <f t="shared" ref="P796:P827" si="63">$F$553+$F$554*O796</f>
        <v>-1.2656950473996828E-2</v>
      </c>
      <c r="Q796" s="9">
        <f t="shared" si="62"/>
        <v>62.119999999999891</v>
      </c>
      <c r="R796" s="10">
        <f t="shared" ref="R796:R827" si="64">$M$553+$M$554*Q796</f>
        <v>-1.4911019929660025</v>
      </c>
    </row>
    <row r="797" spans="3:18" x14ac:dyDescent="0.25">
      <c r="C797" s="9">
        <f t="shared" ref="C797:C832" si="65">C796+$D$730</f>
        <v>30.640000000000043</v>
      </c>
      <c r="D797" s="10">
        <f t="shared" ref="D797:D832" si="66">$F$418+$F$419*C797</f>
        <v>0.80426623913943129</v>
      </c>
      <c r="E797" s="9">
        <f t="shared" ref="E797:E832" si="67">E796+$F$730</f>
        <v>62.809999999999945</v>
      </c>
      <c r="F797" s="10">
        <f t="shared" ref="F797:F832" si="68">$M$418+$M$419*E797</f>
        <v>-7.0678402675144447</v>
      </c>
      <c r="G797" s="9">
        <f t="shared" ref="G797:G832" si="69">G796+$H$730</f>
        <v>30.340000000000042</v>
      </c>
      <c r="H797" s="10">
        <f t="shared" ref="H797:H832" si="70">$F$463+$F$464*G797</f>
        <v>0.97643460622213918</v>
      </c>
      <c r="I797" s="9">
        <f t="shared" ref="I797:I832" si="71">I796+$J$730</f>
        <v>57.400000000000077</v>
      </c>
      <c r="J797" s="10">
        <f t="shared" ref="J797:J832" si="72">$M$463+$M$464*I797</f>
        <v>1.8250000000000048</v>
      </c>
      <c r="K797" s="9">
        <f t="shared" ref="K797:K832" si="73">K796+$L$730</f>
        <v>31.045000000000034</v>
      </c>
      <c r="L797" s="10">
        <f t="shared" ref="L797:L832" si="74">$F$508+$F$509*K797</f>
        <v>0.29674675089817548</v>
      </c>
      <c r="M797" s="9">
        <f t="shared" ref="M797:M832" si="75">M796+$N$730</f>
        <v>64.005000000000081</v>
      </c>
      <c r="N797" s="10">
        <f t="shared" ref="N797:N832" si="76">$M$508+$M$509*M797</f>
        <v>-5.1636047148405533</v>
      </c>
      <c r="O797" s="9">
        <f t="shared" ref="O797:O832" si="77">O796+$P$730</f>
        <v>31.230000000000057</v>
      </c>
      <c r="P797" s="10">
        <f t="shared" si="63"/>
        <v>-1.3672698679897441E-2</v>
      </c>
      <c r="Q797" s="9">
        <f t="shared" ref="Q797:Q832" si="78">Q796+$R$730</f>
        <v>62.699999999999889</v>
      </c>
      <c r="R797" s="10">
        <f t="shared" si="64"/>
        <v>-1.4905920281359908</v>
      </c>
    </row>
    <row r="798" spans="3:18" x14ac:dyDescent="0.25">
      <c r="C798" s="9">
        <f t="shared" si="65"/>
        <v>30.876000000000044</v>
      </c>
      <c r="D798" s="10">
        <f t="shared" si="66"/>
        <v>0.81707927182457807</v>
      </c>
      <c r="E798" s="9">
        <f t="shared" si="67"/>
        <v>63.163999999999945</v>
      </c>
      <c r="F798" s="10">
        <f t="shared" si="68"/>
        <v>-7.0211281964040886</v>
      </c>
      <c r="G798" s="9">
        <f t="shared" si="69"/>
        <v>30.576000000000043</v>
      </c>
      <c r="H798" s="10">
        <f t="shared" si="70"/>
        <v>0.98164589947402026</v>
      </c>
      <c r="I798" s="9">
        <f t="shared" si="71"/>
        <v>57.960000000000079</v>
      </c>
      <c r="J798" s="10">
        <f t="shared" si="72"/>
        <v>1.860000000000005</v>
      </c>
      <c r="K798" s="9">
        <f t="shared" si="73"/>
        <v>31.278000000000034</v>
      </c>
      <c r="L798" s="10">
        <f t="shared" si="74"/>
        <v>0.30217609529091294</v>
      </c>
      <c r="M798" s="9">
        <f t="shared" si="75"/>
        <v>64.602000000000075</v>
      </c>
      <c r="N798" s="10">
        <f t="shared" si="76"/>
        <v>-5.168086951483458</v>
      </c>
      <c r="O798" s="9">
        <f t="shared" si="77"/>
        <v>31.472000000000058</v>
      </c>
      <c r="P798" s="10">
        <f t="shared" si="63"/>
        <v>-1.4688446885798026E-2</v>
      </c>
      <c r="Q798" s="9">
        <f t="shared" si="78"/>
        <v>63.279999999999887</v>
      </c>
      <c r="R798" s="10">
        <f t="shared" si="64"/>
        <v>-1.490082063305979</v>
      </c>
    </row>
    <row r="799" spans="3:18" x14ac:dyDescent="0.25">
      <c r="C799" s="9">
        <f t="shared" si="65"/>
        <v>31.112000000000045</v>
      </c>
      <c r="D799" s="10">
        <f t="shared" si="66"/>
        <v>0.82989230450972507</v>
      </c>
      <c r="E799" s="9">
        <f t="shared" si="67"/>
        <v>63.517999999999944</v>
      </c>
      <c r="F799" s="10">
        <f t="shared" si="68"/>
        <v>-6.9744161252937342</v>
      </c>
      <c r="G799" s="9">
        <f t="shared" si="69"/>
        <v>30.812000000000044</v>
      </c>
      <c r="H799" s="10">
        <f t="shared" si="70"/>
        <v>0.98685719272590122</v>
      </c>
      <c r="I799" s="9">
        <f t="shared" si="71"/>
        <v>58.520000000000081</v>
      </c>
      <c r="J799" s="10">
        <f t="shared" si="72"/>
        <v>1.8950000000000051</v>
      </c>
      <c r="K799" s="9">
        <f t="shared" si="73"/>
        <v>31.511000000000035</v>
      </c>
      <c r="L799" s="10">
        <f t="shared" si="74"/>
        <v>0.30760543968365039</v>
      </c>
      <c r="M799" s="9">
        <f t="shared" si="75"/>
        <v>65.199000000000069</v>
      </c>
      <c r="N799" s="10">
        <f t="shared" si="76"/>
        <v>-5.1725691881263636</v>
      </c>
      <c r="O799" s="9">
        <f t="shared" si="77"/>
        <v>31.714000000000059</v>
      </c>
      <c r="P799" s="10">
        <f t="shared" si="63"/>
        <v>-1.5704195091698611E-2</v>
      </c>
      <c r="Q799" s="9">
        <f t="shared" si="78"/>
        <v>63.859999999999886</v>
      </c>
      <c r="R799" s="10">
        <f t="shared" si="64"/>
        <v>-1.4895720984759673</v>
      </c>
    </row>
    <row r="800" spans="3:18" x14ac:dyDescent="0.25">
      <c r="C800" s="9">
        <f t="shared" si="65"/>
        <v>31.348000000000045</v>
      </c>
      <c r="D800" s="10">
        <f t="shared" si="66"/>
        <v>0.84270533719487206</v>
      </c>
      <c r="E800" s="9">
        <f t="shared" si="67"/>
        <v>63.871999999999943</v>
      </c>
      <c r="F800" s="10">
        <f t="shared" si="68"/>
        <v>-6.9277040541833799</v>
      </c>
      <c r="G800" s="9">
        <f t="shared" si="69"/>
        <v>31.048000000000044</v>
      </c>
      <c r="H800" s="10">
        <f t="shared" si="70"/>
        <v>0.9920684859777823</v>
      </c>
      <c r="I800" s="9">
        <f t="shared" si="71"/>
        <v>59.080000000000084</v>
      </c>
      <c r="J800" s="10">
        <f t="shared" si="72"/>
        <v>1.9300000000000053</v>
      </c>
      <c r="K800" s="9">
        <f t="shared" si="73"/>
        <v>31.744000000000035</v>
      </c>
      <c r="L800" s="10">
        <f t="shared" si="74"/>
        <v>0.31303478407638785</v>
      </c>
      <c r="M800" s="9">
        <f t="shared" si="75"/>
        <v>65.796000000000063</v>
      </c>
      <c r="N800" s="10">
        <f t="shared" si="76"/>
        <v>-5.1770514247692683</v>
      </c>
      <c r="O800" s="9">
        <f t="shared" si="77"/>
        <v>31.95600000000006</v>
      </c>
      <c r="P800" s="10">
        <f t="shared" si="63"/>
        <v>-1.6719943297599224E-2</v>
      </c>
      <c r="Q800" s="9">
        <f t="shared" si="78"/>
        <v>64.439999999999884</v>
      </c>
      <c r="R800" s="10">
        <f t="shared" si="64"/>
        <v>-1.4890621336459557</v>
      </c>
    </row>
    <row r="801" spans="3:18" x14ac:dyDescent="0.25">
      <c r="C801" s="9">
        <f t="shared" si="65"/>
        <v>31.584000000000046</v>
      </c>
      <c r="D801" s="10">
        <f t="shared" si="66"/>
        <v>0.85551836988001884</v>
      </c>
      <c r="E801" s="9">
        <f t="shared" si="67"/>
        <v>64.225999999999942</v>
      </c>
      <c r="F801" s="10">
        <f t="shared" si="68"/>
        <v>-6.8809919830730237</v>
      </c>
      <c r="G801" s="9">
        <f t="shared" si="69"/>
        <v>31.284000000000045</v>
      </c>
      <c r="H801" s="10">
        <f t="shared" si="70"/>
        <v>0.99727977922966338</v>
      </c>
      <c r="I801" s="9">
        <f t="shared" si="71"/>
        <v>59.640000000000086</v>
      </c>
      <c r="J801" s="10">
        <f t="shared" si="72"/>
        <v>1.9650000000000054</v>
      </c>
      <c r="K801" s="9">
        <f t="shared" si="73"/>
        <v>31.977000000000036</v>
      </c>
      <c r="L801" s="10">
        <f t="shared" si="74"/>
        <v>0.31846412846912531</v>
      </c>
      <c r="M801" s="9">
        <f t="shared" si="75"/>
        <v>66.393000000000058</v>
      </c>
      <c r="N801" s="10">
        <f t="shared" si="76"/>
        <v>-5.181533661412173</v>
      </c>
      <c r="O801" s="9">
        <f t="shared" si="77"/>
        <v>32.198000000000057</v>
      </c>
      <c r="P801" s="10">
        <f t="shared" si="63"/>
        <v>-1.7735691503499809E-2</v>
      </c>
      <c r="Q801" s="9">
        <f t="shared" si="78"/>
        <v>65.019999999999882</v>
      </c>
      <c r="R801" s="10">
        <f t="shared" si="64"/>
        <v>-1.488552168815944</v>
      </c>
    </row>
    <row r="802" spans="3:18" x14ac:dyDescent="0.25">
      <c r="C802" s="9">
        <f t="shared" si="65"/>
        <v>31.820000000000046</v>
      </c>
      <c r="D802" s="10">
        <f t="shared" si="66"/>
        <v>0.86833140256516583</v>
      </c>
      <c r="E802" s="9">
        <f t="shared" si="67"/>
        <v>64.579999999999941</v>
      </c>
      <c r="F802" s="10">
        <f t="shared" si="68"/>
        <v>-6.8342799119626694</v>
      </c>
      <c r="G802" s="9">
        <f t="shared" si="69"/>
        <v>31.520000000000046</v>
      </c>
      <c r="H802" s="10">
        <f t="shared" si="70"/>
        <v>1.0024910724815443</v>
      </c>
      <c r="I802" s="9">
        <f t="shared" si="71"/>
        <v>60.200000000000088</v>
      </c>
      <c r="J802" s="10">
        <f t="shared" si="72"/>
        <v>2.0000000000000053</v>
      </c>
      <c r="K802" s="9">
        <f t="shared" si="73"/>
        <v>32.210000000000036</v>
      </c>
      <c r="L802" s="10">
        <f t="shared" si="74"/>
        <v>0.32389347286186276</v>
      </c>
      <c r="M802" s="9">
        <f t="shared" si="75"/>
        <v>66.990000000000052</v>
      </c>
      <c r="N802" s="10">
        <f t="shared" si="76"/>
        <v>-5.1860158980550777</v>
      </c>
      <c r="O802" s="9">
        <f t="shared" si="77"/>
        <v>32.440000000000055</v>
      </c>
      <c r="P802" s="10">
        <f t="shared" si="63"/>
        <v>-1.8751439709400394E-2</v>
      </c>
      <c r="Q802" s="9">
        <f t="shared" si="78"/>
        <v>65.599999999999881</v>
      </c>
      <c r="R802" s="10">
        <f t="shared" si="64"/>
        <v>-1.4880422039859322</v>
      </c>
    </row>
    <row r="803" spans="3:18" x14ac:dyDescent="0.25">
      <c r="C803" s="9">
        <f t="shared" si="65"/>
        <v>32.056000000000047</v>
      </c>
      <c r="D803" s="10">
        <f t="shared" si="66"/>
        <v>0.88114443525031261</v>
      </c>
      <c r="E803" s="9">
        <f t="shared" si="67"/>
        <v>64.933999999999941</v>
      </c>
      <c r="F803" s="10">
        <f t="shared" si="68"/>
        <v>-6.787567840852315</v>
      </c>
      <c r="G803" s="9">
        <f t="shared" si="69"/>
        <v>31.756000000000046</v>
      </c>
      <c r="H803" s="10">
        <f t="shared" si="70"/>
        <v>1.0077023657334254</v>
      </c>
      <c r="I803" s="9">
        <f t="shared" si="71"/>
        <v>60.76000000000009</v>
      </c>
      <c r="J803" s="10">
        <f t="shared" si="72"/>
        <v>2.0350000000000055</v>
      </c>
      <c r="K803" s="9">
        <f t="shared" si="73"/>
        <v>32.443000000000033</v>
      </c>
      <c r="L803" s="10">
        <f t="shared" si="74"/>
        <v>0.32932281725460011</v>
      </c>
      <c r="M803" s="9">
        <f t="shared" si="75"/>
        <v>67.587000000000046</v>
      </c>
      <c r="N803" s="10">
        <f t="shared" si="76"/>
        <v>-5.1904981346979824</v>
      </c>
      <c r="O803" s="9">
        <f t="shared" si="77"/>
        <v>32.682000000000052</v>
      </c>
      <c r="P803" s="10">
        <f t="shared" si="63"/>
        <v>-1.9767187915300979E-2</v>
      </c>
      <c r="Q803" s="9">
        <f t="shared" si="78"/>
        <v>66.179999999999879</v>
      </c>
      <c r="R803" s="10">
        <f t="shared" si="64"/>
        <v>-1.4875322391559205</v>
      </c>
    </row>
    <row r="804" spans="3:18" x14ac:dyDescent="0.25">
      <c r="C804" s="9">
        <f t="shared" si="65"/>
        <v>32.292000000000044</v>
      </c>
      <c r="D804" s="10">
        <f t="shared" si="66"/>
        <v>0.89395746793545938</v>
      </c>
      <c r="E804" s="9">
        <f t="shared" si="67"/>
        <v>65.28799999999994</v>
      </c>
      <c r="F804" s="10">
        <f t="shared" si="68"/>
        <v>-6.7408557697419589</v>
      </c>
      <c r="G804" s="9">
        <f t="shared" si="69"/>
        <v>31.992000000000047</v>
      </c>
      <c r="H804" s="10">
        <f t="shared" si="70"/>
        <v>1.0129136589853065</v>
      </c>
      <c r="I804" s="9">
        <f t="shared" si="71"/>
        <v>61.320000000000093</v>
      </c>
      <c r="J804" s="10">
        <f t="shared" si="72"/>
        <v>2.0700000000000056</v>
      </c>
      <c r="K804" s="9">
        <f t="shared" si="73"/>
        <v>32.67600000000003</v>
      </c>
      <c r="L804" s="10">
        <f t="shared" si="74"/>
        <v>0.33475216164733756</v>
      </c>
      <c r="M804" s="9">
        <f t="shared" si="75"/>
        <v>68.18400000000004</v>
      </c>
      <c r="N804" s="10">
        <f t="shared" si="76"/>
        <v>-5.194980371340888</v>
      </c>
      <c r="O804" s="9">
        <f t="shared" si="77"/>
        <v>32.924000000000049</v>
      </c>
      <c r="P804" s="10">
        <f t="shared" si="63"/>
        <v>-2.0782936121201537E-2</v>
      </c>
      <c r="Q804" s="9">
        <f t="shared" si="78"/>
        <v>66.759999999999877</v>
      </c>
      <c r="R804" s="10">
        <f t="shared" si="64"/>
        <v>-1.4870222743259087</v>
      </c>
    </row>
    <row r="805" spans="3:18" x14ac:dyDescent="0.25">
      <c r="C805" s="9">
        <f t="shared" si="65"/>
        <v>32.528000000000041</v>
      </c>
      <c r="D805" s="10">
        <f t="shared" si="66"/>
        <v>0.90677050062060616</v>
      </c>
      <c r="E805" s="9">
        <f t="shared" si="67"/>
        <v>65.641999999999939</v>
      </c>
      <c r="F805" s="10">
        <f t="shared" si="68"/>
        <v>-6.6941436986316045</v>
      </c>
      <c r="G805" s="9">
        <f t="shared" si="69"/>
        <v>32.228000000000044</v>
      </c>
      <c r="H805" s="10">
        <f t="shared" si="70"/>
        <v>1.0181249522371876</v>
      </c>
      <c r="I805" s="9">
        <f t="shared" si="71"/>
        <v>61.880000000000095</v>
      </c>
      <c r="J805" s="10">
        <f t="shared" si="72"/>
        <v>2.1050000000000058</v>
      </c>
      <c r="K805" s="9">
        <f t="shared" si="73"/>
        <v>32.909000000000027</v>
      </c>
      <c r="L805" s="10">
        <f t="shared" si="74"/>
        <v>0.34018150604007491</v>
      </c>
      <c r="M805" s="9">
        <f t="shared" si="75"/>
        <v>68.781000000000034</v>
      </c>
      <c r="N805" s="10">
        <f t="shared" si="76"/>
        <v>-5.1994626079837927</v>
      </c>
      <c r="O805" s="9">
        <f t="shared" si="77"/>
        <v>33.166000000000047</v>
      </c>
      <c r="P805" s="10">
        <f t="shared" si="63"/>
        <v>-2.1798684327102122E-2</v>
      </c>
      <c r="Q805" s="9">
        <f t="shared" si="78"/>
        <v>67.339999999999876</v>
      </c>
      <c r="R805" s="10">
        <f t="shared" si="64"/>
        <v>-1.486512309495897</v>
      </c>
    </row>
    <row r="806" spans="3:18" x14ac:dyDescent="0.25">
      <c r="C806" s="9">
        <f t="shared" si="65"/>
        <v>32.764000000000038</v>
      </c>
      <c r="D806" s="10">
        <f t="shared" si="66"/>
        <v>0.91958353330575293</v>
      </c>
      <c r="E806" s="9">
        <f t="shared" si="67"/>
        <v>65.995999999999938</v>
      </c>
      <c r="F806" s="10">
        <f t="shared" si="68"/>
        <v>-6.6474316275212502</v>
      </c>
      <c r="G806" s="9">
        <f t="shared" si="69"/>
        <v>32.464000000000041</v>
      </c>
      <c r="H806" s="10">
        <f t="shared" si="70"/>
        <v>1.0233362454890684</v>
      </c>
      <c r="I806" s="9">
        <f t="shared" si="71"/>
        <v>62.440000000000097</v>
      </c>
      <c r="J806" s="10">
        <f t="shared" si="72"/>
        <v>2.1400000000000059</v>
      </c>
      <c r="K806" s="9">
        <f t="shared" si="73"/>
        <v>33.142000000000024</v>
      </c>
      <c r="L806" s="10">
        <f t="shared" si="74"/>
        <v>0.34561085043281226</v>
      </c>
      <c r="M806" s="9">
        <f t="shared" si="75"/>
        <v>69.378000000000029</v>
      </c>
      <c r="N806" s="10">
        <f t="shared" si="76"/>
        <v>-5.2039448446266974</v>
      </c>
      <c r="O806" s="9">
        <f t="shared" si="77"/>
        <v>33.408000000000044</v>
      </c>
      <c r="P806" s="10">
        <f t="shared" si="63"/>
        <v>-2.2814432533002707E-2</v>
      </c>
      <c r="Q806" s="9">
        <f t="shared" si="78"/>
        <v>67.919999999999874</v>
      </c>
      <c r="R806" s="10">
        <f t="shared" si="64"/>
        <v>-1.4860023446658854</v>
      </c>
    </row>
    <row r="807" spans="3:18" x14ac:dyDescent="0.25">
      <c r="C807" s="9">
        <f t="shared" si="65"/>
        <v>33.000000000000036</v>
      </c>
      <c r="D807" s="10">
        <f t="shared" si="66"/>
        <v>0.93239656599089948</v>
      </c>
      <c r="E807" s="9">
        <f t="shared" si="67"/>
        <v>66.349999999999937</v>
      </c>
      <c r="F807" s="10">
        <f t="shared" si="68"/>
        <v>-6.600719556410894</v>
      </c>
      <c r="G807" s="9">
        <f t="shared" si="69"/>
        <v>32.700000000000038</v>
      </c>
      <c r="H807" s="10">
        <f t="shared" si="70"/>
        <v>1.0285475387409493</v>
      </c>
      <c r="I807" s="9">
        <f t="shared" si="71"/>
        <v>63.000000000000099</v>
      </c>
      <c r="J807" s="10">
        <f t="shared" si="72"/>
        <v>2.175000000000006</v>
      </c>
      <c r="K807" s="9">
        <f t="shared" si="73"/>
        <v>33.375000000000021</v>
      </c>
      <c r="L807" s="10">
        <f t="shared" si="74"/>
        <v>0.3510401948255496</v>
      </c>
      <c r="M807" s="9">
        <f t="shared" si="75"/>
        <v>69.975000000000023</v>
      </c>
      <c r="N807" s="10">
        <f t="shared" si="76"/>
        <v>-5.2084270812696021</v>
      </c>
      <c r="O807" s="9">
        <f t="shared" si="77"/>
        <v>33.650000000000041</v>
      </c>
      <c r="P807" s="10">
        <f t="shared" si="63"/>
        <v>-2.3830180738903292E-2</v>
      </c>
      <c r="Q807" s="9">
        <f t="shared" si="78"/>
        <v>68.499999999999872</v>
      </c>
      <c r="R807" s="10">
        <f t="shared" si="64"/>
        <v>-1.4854923798358737</v>
      </c>
    </row>
    <row r="808" spans="3:18" x14ac:dyDescent="0.25">
      <c r="C808" s="9">
        <f t="shared" si="65"/>
        <v>33.236000000000033</v>
      </c>
      <c r="D808" s="10">
        <f t="shared" si="66"/>
        <v>0.94520959867604626</v>
      </c>
      <c r="E808" s="9">
        <f t="shared" si="67"/>
        <v>66.703999999999937</v>
      </c>
      <c r="F808" s="10">
        <f t="shared" si="68"/>
        <v>-6.5540074853005397</v>
      </c>
      <c r="G808" s="9">
        <f t="shared" si="69"/>
        <v>32.936000000000035</v>
      </c>
      <c r="H808" s="10">
        <f t="shared" si="70"/>
        <v>1.0337588319928304</v>
      </c>
      <c r="I808" s="9">
        <f t="shared" si="71"/>
        <v>63.560000000000102</v>
      </c>
      <c r="J808" s="10">
        <f t="shared" si="72"/>
        <v>2.2100000000000062</v>
      </c>
      <c r="K808" s="9">
        <f t="shared" si="73"/>
        <v>33.608000000000018</v>
      </c>
      <c r="L808" s="10">
        <f t="shared" si="74"/>
        <v>0.35646953921828706</v>
      </c>
      <c r="M808" s="9">
        <f t="shared" si="75"/>
        <v>70.572000000000017</v>
      </c>
      <c r="N808" s="10">
        <f t="shared" si="76"/>
        <v>-5.2129093179125068</v>
      </c>
      <c r="O808" s="9">
        <f t="shared" si="77"/>
        <v>33.892000000000039</v>
      </c>
      <c r="P808" s="10">
        <f t="shared" si="63"/>
        <v>-2.4845928944803877E-2</v>
      </c>
      <c r="Q808" s="9">
        <f t="shared" si="78"/>
        <v>69.07999999999987</v>
      </c>
      <c r="R808" s="10">
        <f t="shared" si="64"/>
        <v>-1.4849824150058619</v>
      </c>
    </row>
    <row r="809" spans="3:18" x14ac:dyDescent="0.25">
      <c r="C809" s="9">
        <f t="shared" si="65"/>
        <v>33.47200000000003</v>
      </c>
      <c r="D809" s="10">
        <f t="shared" si="66"/>
        <v>0.95802263136119303</v>
      </c>
      <c r="E809" s="9">
        <f t="shared" si="67"/>
        <v>67.057999999999936</v>
      </c>
      <c r="F809" s="10">
        <f t="shared" si="68"/>
        <v>-6.5072954141901853</v>
      </c>
      <c r="G809" s="9">
        <f t="shared" si="69"/>
        <v>33.172000000000033</v>
      </c>
      <c r="H809" s="10">
        <f t="shared" si="70"/>
        <v>1.0389701252447114</v>
      </c>
      <c r="I809" s="9">
        <f t="shared" si="71"/>
        <v>64.120000000000104</v>
      </c>
      <c r="J809" s="10">
        <f t="shared" si="72"/>
        <v>2.2450000000000063</v>
      </c>
      <c r="K809" s="9">
        <f t="shared" si="73"/>
        <v>33.841000000000015</v>
      </c>
      <c r="L809" s="10">
        <f t="shared" si="74"/>
        <v>0.3618988836110244</v>
      </c>
      <c r="M809" s="9">
        <f t="shared" si="75"/>
        <v>71.169000000000011</v>
      </c>
      <c r="N809" s="10">
        <f t="shared" si="76"/>
        <v>-5.2173915545554124</v>
      </c>
      <c r="O809" s="9">
        <f t="shared" si="77"/>
        <v>34.134000000000036</v>
      </c>
      <c r="P809" s="10">
        <f t="shared" si="63"/>
        <v>-2.5861677150704462E-2</v>
      </c>
      <c r="Q809" s="9">
        <f t="shared" si="78"/>
        <v>69.659999999999869</v>
      </c>
      <c r="R809" s="10">
        <f t="shared" si="64"/>
        <v>-1.4844724501758502</v>
      </c>
    </row>
    <row r="810" spans="3:18" x14ac:dyDescent="0.25">
      <c r="C810" s="9">
        <f t="shared" si="65"/>
        <v>33.708000000000027</v>
      </c>
      <c r="D810" s="10">
        <f t="shared" si="66"/>
        <v>0.97083566404633981</v>
      </c>
      <c r="E810" s="9">
        <f t="shared" si="67"/>
        <v>67.411999999999935</v>
      </c>
      <c r="F810" s="10">
        <f t="shared" si="68"/>
        <v>-6.4605833430798292</v>
      </c>
      <c r="G810" s="9">
        <f t="shared" si="69"/>
        <v>33.40800000000003</v>
      </c>
      <c r="H810" s="10">
        <f t="shared" si="70"/>
        <v>1.0441814184965923</v>
      </c>
      <c r="I810" s="9">
        <f t="shared" si="71"/>
        <v>64.680000000000106</v>
      </c>
      <c r="J810" s="10">
        <f t="shared" si="72"/>
        <v>2.2800000000000065</v>
      </c>
      <c r="K810" s="9">
        <f t="shared" si="73"/>
        <v>34.074000000000012</v>
      </c>
      <c r="L810" s="10">
        <f t="shared" si="74"/>
        <v>0.36732822800376175</v>
      </c>
      <c r="M810" s="9">
        <f t="shared" si="75"/>
        <v>71.766000000000005</v>
      </c>
      <c r="N810" s="10">
        <f t="shared" si="76"/>
        <v>-5.2218737911983171</v>
      </c>
      <c r="O810" s="9">
        <f t="shared" si="77"/>
        <v>34.376000000000033</v>
      </c>
      <c r="P810" s="10">
        <f t="shared" si="63"/>
        <v>-2.6877425356605048E-2</v>
      </c>
      <c r="Q810" s="9">
        <f t="shared" si="78"/>
        <v>70.239999999999867</v>
      </c>
      <c r="R810" s="10">
        <f t="shared" si="64"/>
        <v>-1.4839624853458384</v>
      </c>
    </row>
    <row r="811" spans="3:18" x14ac:dyDescent="0.25">
      <c r="C811" s="9">
        <f t="shared" si="65"/>
        <v>33.944000000000024</v>
      </c>
      <c r="D811" s="10">
        <f t="shared" si="66"/>
        <v>0.98364869673148658</v>
      </c>
      <c r="E811" s="9">
        <f t="shared" si="67"/>
        <v>67.765999999999934</v>
      </c>
      <c r="F811" s="10">
        <f t="shared" si="68"/>
        <v>-6.4138712719694748</v>
      </c>
      <c r="G811" s="9">
        <f t="shared" si="69"/>
        <v>33.644000000000027</v>
      </c>
      <c r="H811" s="10">
        <f t="shared" si="70"/>
        <v>1.0493927117484732</v>
      </c>
      <c r="I811" s="9">
        <f t="shared" si="71"/>
        <v>65.240000000000109</v>
      </c>
      <c r="J811" s="10">
        <f t="shared" si="72"/>
        <v>2.3150000000000066</v>
      </c>
      <c r="K811" s="9">
        <f t="shared" si="73"/>
        <v>34.307000000000009</v>
      </c>
      <c r="L811" s="10">
        <f t="shared" si="74"/>
        <v>0.37275757239649909</v>
      </c>
      <c r="M811" s="9">
        <f t="shared" si="75"/>
        <v>72.363</v>
      </c>
      <c r="N811" s="10">
        <f t="shared" si="76"/>
        <v>-5.2263560278412218</v>
      </c>
      <c r="O811" s="9">
        <f t="shared" si="77"/>
        <v>34.618000000000031</v>
      </c>
      <c r="P811" s="10">
        <f t="shared" si="63"/>
        <v>-2.7893173562505633E-2</v>
      </c>
      <c r="Q811" s="9">
        <f t="shared" si="78"/>
        <v>70.819999999999865</v>
      </c>
      <c r="R811" s="10">
        <f t="shared" si="64"/>
        <v>-1.4834525205158267</v>
      </c>
    </row>
    <row r="812" spans="3:18" x14ac:dyDescent="0.25">
      <c r="C812" s="9">
        <f t="shared" si="65"/>
        <v>34.180000000000021</v>
      </c>
      <c r="D812" s="10">
        <f t="shared" si="66"/>
        <v>0.99646172941663314</v>
      </c>
      <c r="E812" s="9">
        <f t="shared" si="67"/>
        <v>68.119999999999933</v>
      </c>
      <c r="F812" s="10">
        <f t="shared" si="68"/>
        <v>-6.3671592008591205</v>
      </c>
      <c r="G812" s="9">
        <f t="shared" si="69"/>
        <v>33.880000000000024</v>
      </c>
      <c r="H812" s="10">
        <f t="shared" si="70"/>
        <v>1.0546040050003542</v>
      </c>
      <c r="I812" s="9">
        <f t="shared" si="71"/>
        <v>65.800000000000111</v>
      </c>
      <c r="J812" s="10">
        <f t="shared" si="72"/>
        <v>2.3500000000000068</v>
      </c>
      <c r="K812" s="9">
        <f t="shared" si="73"/>
        <v>34.540000000000006</v>
      </c>
      <c r="L812" s="10">
        <f t="shared" si="74"/>
        <v>0.37818691678923655</v>
      </c>
      <c r="M812" s="9">
        <f t="shared" si="75"/>
        <v>72.959999999999994</v>
      </c>
      <c r="N812" s="10">
        <f t="shared" si="76"/>
        <v>-5.2308382644841265</v>
      </c>
      <c r="O812" s="9">
        <f t="shared" si="77"/>
        <v>34.860000000000028</v>
      </c>
      <c r="P812" s="10">
        <f t="shared" si="63"/>
        <v>-2.8908921768406218E-2</v>
      </c>
      <c r="Q812" s="9">
        <f t="shared" si="78"/>
        <v>71.399999999999864</v>
      </c>
      <c r="R812" s="10">
        <f t="shared" si="64"/>
        <v>-1.4829425556858151</v>
      </c>
    </row>
    <row r="813" spans="3:18" x14ac:dyDescent="0.25">
      <c r="C813" s="9">
        <f t="shared" si="65"/>
        <v>34.416000000000018</v>
      </c>
      <c r="D813" s="10">
        <f t="shared" si="66"/>
        <v>1.0092747621017799</v>
      </c>
      <c r="E813" s="9">
        <f t="shared" si="67"/>
        <v>68.473999999999933</v>
      </c>
      <c r="F813" s="10">
        <f t="shared" si="68"/>
        <v>-6.3204471297487643</v>
      </c>
      <c r="G813" s="9">
        <f t="shared" si="69"/>
        <v>34.116000000000021</v>
      </c>
      <c r="H813" s="10">
        <f t="shared" si="70"/>
        <v>1.0598152982522353</v>
      </c>
      <c r="I813" s="9">
        <f t="shared" si="71"/>
        <v>66.360000000000113</v>
      </c>
      <c r="J813" s="10">
        <f t="shared" si="72"/>
        <v>2.3850000000000069</v>
      </c>
      <c r="K813" s="9">
        <f t="shared" si="73"/>
        <v>34.773000000000003</v>
      </c>
      <c r="L813" s="10">
        <f t="shared" si="74"/>
        <v>0.38361626118197389</v>
      </c>
      <c r="M813" s="9">
        <f t="shared" si="75"/>
        <v>73.556999999999988</v>
      </c>
      <c r="N813" s="10">
        <f t="shared" si="76"/>
        <v>-5.2353205011270312</v>
      </c>
      <c r="O813" s="9">
        <f t="shared" si="77"/>
        <v>35.102000000000025</v>
      </c>
      <c r="P813" s="10">
        <f t="shared" si="63"/>
        <v>-2.9924669974306775E-2</v>
      </c>
      <c r="Q813" s="9">
        <f t="shared" si="78"/>
        <v>71.979999999999862</v>
      </c>
      <c r="R813" s="10">
        <f t="shared" si="64"/>
        <v>-1.4824325908558034</v>
      </c>
    </row>
    <row r="814" spans="3:18" x14ac:dyDescent="0.25">
      <c r="C814" s="9">
        <f t="shared" si="65"/>
        <v>34.652000000000015</v>
      </c>
      <c r="D814" s="10">
        <f t="shared" si="66"/>
        <v>1.0220877947869267</v>
      </c>
      <c r="E814" s="9">
        <f t="shared" si="67"/>
        <v>68.827999999999932</v>
      </c>
      <c r="F814" s="10">
        <f t="shared" si="68"/>
        <v>-6.27373505863841</v>
      </c>
      <c r="G814" s="9">
        <f t="shared" si="69"/>
        <v>34.352000000000018</v>
      </c>
      <c r="H814" s="10">
        <f t="shared" si="70"/>
        <v>1.0650265915041162</v>
      </c>
      <c r="I814" s="9">
        <f t="shared" si="71"/>
        <v>66.920000000000115</v>
      </c>
      <c r="J814" s="10">
        <f t="shared" si="72"/>
        <v>2.420000000000007</v>
      </c>
      <c r="K814" s="9">
        <f t="shared" si="73"/>
        <v>35.006</v>
      </c>
      <c r="L814" s="10">
        <f t="shared" si="74"/>
        <v>0.38904560557471124</v>
      </c>
      <c r="M814" s="9">
        <f t="shared" si="75"/>
        <v>74.153999999999982</v>
      </c>
      <c r="N814" s="10">
        <f t="shared" si="76"/>
        <v>-5.2398027377699368</v>
      </c>
      <c r="O814" s="9">
        <f t="shared" si="77"/>
        <v>35.344000000000023</v>
      </c>
      <c r="P814" s="10">
        <f t="shared" si="63"/>
        <v>-3.094041818020736E-2</v>
      </c>
      <c r="Q814" s="9">
        <f t="shared" si="78"/>
        <v>72.55999999999986</v>
      </c>
      <c r="R814" s="10">
        <f t="shared" si="64"/>
        <v>-1.4819226260257916</v>
      </c>
    </row>
    <row r="815" spans="3:18" x14ac:dyDescent="0.25">
      <c r="C815" s="9">
        <f t="shared" si="65"/>
        <v>34.888000000000012</v>
      </c>
      <c r="D815" s="10">
        <f t="shared" si="66"/>
        <v>1.0349008274720735</v>
      </c>
      <c r="E815" s="9">
        <f t="shared" si="67"/>
        <v>69.181999999999931</v>
      </c>
      <c r="F815" s="10">
        <f t="shared" si="68"/>
        <v>-6.2270229875280556</v>
      </c>
      <c r="G815" s="9">
        <f t="shared" si="69"/>
        <v>34.588000000000015</v>
      </c>
      <c r="H815" s="10">
        <f t="shared" si="70"/>
        <v>1.070237884755997</v>
      </c>
      <c r="I815" s="9">
        <f t="shared" si="71"/>
        <v>67.480000000000118</v>
      </c>
      <c r="J815" s="10">
        <f t="shared" si="72"/>
        <v>2.4550000000000072</v>
      </c>
      <c r="K815" s="9">
        <f t="shared" si="73"/>
        <v>35.238999999999997</v>
      </c>
      <c r="L815" s="10">
        <f t="shared" si="74"/>
        <v>0.39447494996744858</v>
      </c>
      <c r="M815" s="9">
        <f t="shared" si="75"/>
        <v>74.750999999999976</v>
      </c>
      <c r="N815" s="10">
        <f t="shared" si="76"/>
        <v>-5.2442849744128415</v>
      </c>
      <c r="O815" s="9">
        <f t="shared" si="77"/>
        <v>35.58600000000002</v>
      </c>
      <c r="P815" s="10">
        <f t="shared" si="63"/>
        <v>-3.1956166386107945E-2</v>
      </c>
      <c r="Q815" s="9">
        <f t="shared" si="78"/>
        <v>73.139999999999858</v>
      </c>
      <c r="R815" s="10">
        <f t="shared" si="64"/>
        <v>-1.4814126611957799</v>
      </c>
    </row>
    <row r="816" spans="3:18" x14ac:dyDescent="0.25">
      <c r="C816" s="9">
        <f t="shared" si="65"/>
        <v>35.124000000000009</v>
      </c>
      <c r="D816" s="10">
        <f t="shared" si="66"/>
        <v>1.04771386015722</v>
      </c>
      <c r="E816" s="9">
        <f t="shared" si="67"/>
        <v>69.53599999999993</v>
      </c>
      <c r="F816" s="10">
        <f t="shared" si="68"/>
        <v>-6.1803109164177013</v>
      </c>
      <c r="G816" s="9">
        <f t="shared" si="69"/>
        <v>34.824000000000012</v>
      </c>
      <c r="H816" s="10">
        <f t="shared" si="70"/>
        <v>1.0754491780078781</v>
      </c>
      <c r="I816" s="9">
        <f t="shared" si="71"/>
        <v>68.04000000000012</v>
      </c>
      <c r="J816" s="10">
        <f t="shared" si="72"/>
        <v>2.4900000000000073</v>
      </c>
      <c r="K816" s="9">
        <f t="shared" si="73"/>
        <v>35.471999999999994</v>
      </c>
      <c r="L816" s="10">
        <f t="shared" si="74"/>
        <v>0.39990429436018593</v>
      </c>
      <c r="M816" s="9">
        <f t="shared" si="75"/>
        <v>75.347999999999971</v>
      </c>
      <c r="N816" s="10">
        <f t="shared" si="76"/>
        <v>-5.2487672110557462</v>
      </c>
      <c r="O816" s="9">
        <f t="shared" si="77"/>
        <v>35.828000000000017</v>
      </c>
      <c r="P816" s="10">
        <f t="shared" si="63"/>
        <v>-3.297191459200853E-2</v>
      </c>
      <c r="Q816" s="9">
        <f t="shared" si="78"/>
        <v>73.719999999999857</v>
      </c>
      <c r="R816" s="10">
        <f t="shared" si="64"/>
        <v>-1.4809026963657681</v>
      </c>
    </row>
    <row r="817" spans="3:18" x14ac:dyDescent="0.25">
      <c r="C817" s="9">
        <f t="shared" si="65"/>
        <v>35.360000000000007</v>
      </c>
      <c r="D817" s="10">
        <f t="shared" si="66"/>
        <v>1.0605268928423668</v>
      </c>
      <c r="E817" s="9">
        <f t="shared" si="67"/>
        <v>69.88999999999993</v>
      </c>
      <c r="F817" s="10">
        <f t="shared" si="68"/>
        <v>-6.1335988453073451</v>
      </c>
      <c r="G817" s="9">
        <f t="shared" si="69"/>
        <v>35.060000000000009</v>
      </c>
      <c r="H817" s="10">
        <f t="shared" si="70"/>
        <v>1.0806604712597592</v>
      </c>
      <c r="I817" s="9">
        <f t="shared" si="71"/>
        <v>68.600000000000122</v>
      </c>
      <c r="J817" s="10">
        <f t="shared" si="72"/>
        <v>2.5250000000000075</v>
      </c>
      <c r="K817" s="9">
        <f t="shared" si="73"/>
        <v>35.704999999999991</v>
      </c>
      <c r="L817" s="10">
        <f t="shared" si="74"/>
        <v>0.40533363875292339</v>
      </c>
      <c r="M817" s="9">
        <f t="shared" si="75"/>
        <v>75.944999999999965</v>
      </c>
      <c r="N817" s="10">
        <f t="shared" si="76"/>
        <v>-5.2532494476986509</v>
      </c>
      <c r="O817" s="9">
        <f t="shared" si="77"/>
        <v>36.070000000000014</v>
      </c>
      <c r="P817" s="10">
        <f t="shared" si="63"/>
        <v>-3.3987662797909116E-2</v>
      </c>
      <c r="Q817" s="9">
        <f t="shared" si="78"/>
        <v>74.299999999999855</v>
      </c>
      <c r="R817" s="10">
        <f t="shared" si="64"/>
        <v>-1.4803927315357566</v>
      </c>
    </row>
    <row r="818" spans="3:18" x14ac:dyDescent="0.25">
      <c r="C818" s="9">
        <f t="shared" si="65"/>
        <v>35.596000000000004</v>
      </c>
      <c r="D818" s="10">
        <f t="shared" si="66"/>
        <v>1.0733399255275136</v>
      </c>
      <c r="E818" s="9">
        <f t="shared" si="67"/>
        <v>70.243999999999929</v>
      </c>
      <c r="F818" s="10">
        <f t="shared" si="68"/>
        <v>-6.0868867741969908</v>
      </c>
      <c r="G818" s="9">
        <f t="shared" si="69"/>
        <v>35.296000000000006</v>
      </c>
      <c r="H818" s="10">
        <f t="shared" si="70"/>
        <v>1.08587176451164</v>
      </c>
      <c r="I818" s="9">
        <f t="shared" si="71"/>
        <v>69.160000000000124</v>
      </c>
      <c r="J818" s="10">
        <f t="shared" si="72"/>
        <v>2.5600000000000076</v>
      </c>
      <c r="K818" s="9">
        <f t="shared" si="73"/>
        <v>35.937999999999988</v>
      </c>
      <c r="L818" s="10">
        <f t="shared" si="74"/>
        <v>0.41076298314566073</v>
      </c>
      <c r="M818" s="9">
        <f t="shared" si="75"/>
        <v>76.541999999999959</v>
      </c>
      <c r="N818" s="10">
        <f t="shared" si="76"/>
        <v>-5.2577316843415565</v>
      </c>
      <c r="O818" s="9">
        <f t="shared" si="77"/>
        <v>36.312000000000012</v>
      </c>
      <c r="P818" s="10">
        <f t="shared" si="63"/>
        <v>-3.5003411003809701E-2</v>
      </c>
      <c r="Q818" s="9">
        <f t="shared" si="78"/>
        <v>74.879999999999853</v>
      </c>
      <c r="R818" s="10">
        <f t="shared" si="64"/>
        <v>-1.4798827667057448</v>
      </c>
    </row>
    <row r="819" spans="3:18" x14ac:dyDescent="0.25">
      <c r="C819" s="9">
        <f t="shared" si="65"/>
        <v>35.832000000000001</v>
      </c>
      <c r="D819" s="10">
        <f t="shared" si="66"/>
        <v>1.0861529582126603</v>
      </c>
      <c r="E819" s="9">
        <f t="shared" si="67"/>
        <v>70.597999999999928</v>
      </c>
      <c r="F819" s="10">
        <f t="shared" si="68"/>
        <v>-6.0401747030866364</v>
      </c>
      <c r="G819" s="9">
        <f t="shared" si="69"/>
        <v>35.532000000000004</v>
      </c>
      <c r="H819" s="10">
        <f t="shared" si="70"/>
        <v>1.0910830577635209</v>
      </c>
      <c r="I819" s="9">
        <f t="shared" si="71"/>
        <v>69.720000000000127</v>
      </c>
      <c r="J819" s="10">
        <f t="shared" si="72"/>
        <v>2.5950000000000077</v>
      </c>
      <c r="K819" s="9">
        <f t="shared" si="73"/>
        <v>36.170999999999985</v>
      </c>
      <c r="L819" s="10">
        <f t="shared" si="74"/>
        <v>0.41619232753839808</v>
      </c>
      <c r="M819" s="9">
        <f t="shared" si="75"/>
        <v>77.138999999999953</v>
      </c>
      <c r="N819" s="10">
        <f t="shared" si="76"/>
        <v>-5.2622139209844612</v>
      </c>
      <c r="O819" s="9">
        <f t="shared" si="77"/>
        <v>36.554000000000009</v>
      </c>
      <c r="P819" s="10">
        <f t="shared" si="63"/>
        <v>-3.6019159209710286E-2</v>
      </c>
      <c r="Q819" s="9">
        <f t="shared" si="78"/>
        <v>75.459999999999852</v>
      </c>
      <c r="R819" s="10">
        <f t="shared" si="64"/>
        <v>-1.4793728018757331</v>
      </c>
    </row>
    <row r="820" spans="3:18" x14ac:dyDescent="0.25">
      <c r="C820" s="9">
        <f t="shared" si="65"/>
        <v>36.067999999999998</v>
      </c>
      <c r="D820" s="10">
        <f t="shared" si="66"/>
        <v>1.0989659908978069</v>
      </c>
      <c r="E820" s="9">
        <f t="shared" si="67"/>
        <v>70.951999999999927</v>
      </c>
      <c r="F820" s="10">
        <f t="shared" si="68"/>
        <v>-5.9934626319762803</v>
      </c>
      <c r="G820" s="9">
        <f t="shared" si="69"/>
        <v>35.768000000000001</v>
      </c>
      <c r="H820" s="10">
        <f t="shared" si="70"/>
        <v>1.096294351015402</v>
      </c>
      <c r="I820" s="9">
        <f t="shared" si="71"/>
        <v>70.280000000000129</v>
      </c>
      <c r="J820" s="10">
        <f t="shared" si="72"/>
        <v>2.6300000000000079</v>
      </c>
      <c r="K820" s="9">
        <f t="shared" si="73"/>
        <v>36.403999999999982</v>
      </c>
      <c r="L820" s="10">
        <f t="shared" si="74"/>
        <v>0.42162167193113542</v>
      </c>
      <c r="M820" s="9">
        <f t="shared" si="75"/>
        <v>77.735999999999947</v>
      </c>
      <c r="N820" s="10">
        <f t="shared" si="76"/>
        <v>-5.2666961576273659</v>
      </c>
      <c r="O820" s="9">
        <f t="shared" si="77"/>
        <v>36.796000000000006</v>
      </c>
      <c r="P820" s="10">
        <f t="shared" si="63"/>
        <v>-3.7034907415610871E-2</v>
      </c>
      <c r="Q820" s="9">
        <f t="shared" si="78"/>
        <v>76.03999999999985</v>
      </c>
      <c r="R820" s="10">
        <f t="shared" si="64"/>
        <v>-1.4788628370457213</v>
      </c>
    </row>
    <row r="821" spans="3:18" x14ac:dyDescent="0.25">
      <c r="C821" s="9">
        <f t="shared" si="65"/>
        <v>36.303999999999995</v>
      </c>
      <c r="D821" s="10">
        <f t="shared" si="66"/>
        <v>1.1117790235829537</v>
      </c>
      <c r="E821" s="9">
        <f t="shared" si="67"/>
        <v>71.305999999999926</v>
      </c>
      <c r="F821" s="10">
        <f t="shared" si="68"/>
        <v>-5.9467505608659259</v>
      </c>
      <c r="G821" s="9">
        <f t="shared" si="69"/>
        <v>36.003999999999998</v>
      </c>
      <c r="H821" s="10">
        <f t="shared" si="70"/>
        <v>1.101505644267283</v>
      </c>
      <c r="I821" s="9">
        <f t="shared" si="71"/>
        <v>70.840000000000131</v>
      </c>
      <c r="J821" s="10">
        <f t="shared" si="72"/>
        <v>2.665000000000008</v>
      </c>
      <c r="K821" s="9">
        <f t="shared" si="73"/>
        <v>36.636999999999979</v>
      </c>
      <c r="L821" s="10">
        <f t="shared" si="74"/>
        <v>0.42705101632387288</v>
      </c>
      <c r="M821" s="9">
        <f t="shared" si="75"/>
        <v>78.332999999999942</v>
      </c>
      <c r="N821" s="10">
        <f t="shared" si="76"/>
        <v>-5.2711783942702706</v>
      </c>
      <c r="O821" s="9">
        <f t="shared" si="77"/>
        <v>37.038000000000004</v>
      </c>
      <c r="P821" s="10">
        <f t="shared" si="63"/>
        <v>-3.8050655621511456E-2</v>
      </c>
      <c r="Q821" s="9">
        <f t="shared" si="78"/>
        <v>76.619999999999848</v>
      </c>
      <c r="R821" s="10">
        <f t="shared" si="64"/>
        <v>-1.4783528722157095</v>
      </c>
    </row>
    <row r="822" spans="3:18" x14ac:dyDescent="0.25">
      <c r="C822" s="9">
        <f t="shared" si="65"/>
        <v>36.539999999999992</v>
      </c>
      <c r="D822" s="10">
        <f t="shared" si="66"/>
        <v>1.1245920562681004</v>
      </c>
      <c r="E822" s="9">
        <f t="shared" si="67"/>
        <v>71.659999999999926</v>
      </c>
      <c r="F822" s="10">
        <f t="shared" si="68"/>
        <v>-5.9000384897555715</v>
      </c>
      <c r="G822" s="9">
        <f t="shared" si="69"/>
        <v>36.239999999999995</v>
      </c>
      <c r="H822" s="10">
        <f t="shared" si="70"/>
        <v>1.1067169375191639</v>
      </c>
      <c r="I822" s="9">
        <f t="shared" si="71"/>
        <v>71.400000000000134</v>
      </c>
      <c r="J822" s="10">
        <f t="shared" si="72"/>
        <v>2.7000000000000082</v>
      </c>
      <c r="K822" s="9">
        <f t="shared" si="73"/>
        <v>36.869999999999976</v>
      </c>
      <c r="L822" s="10">
        <f t="shared" si="74"/>
        <v>0.43248036071661022</v>
      </c>
      <c r="M822" s="9">
        <f t="shared" si="75"/>
        <v>78.929999999999936</v>
      </c>
      <c r="N822" s="10">
        <f t="shared" si="76"/>
        <v>-5.2756606309131753</v>
      </c>
      <c r="O822" s="9">
        <f t="shared" si="77"/>
        <v>37.28</v>
      </c>
      <c r="P822" s="10">
        <f t="shared" si="63"/>
        <v>-3.9066403827412041E-2</v>
      </c>
      <c r="Q822" s="9">
        <f t="shared" si="78"/>
        <v>77.199999999999847</v>
      </c>
      <c r="R822" s="10">
        <f t="shared" si="64"/>
        <v>-1.477842907385698</v>
      </c>
    </row>
    <row r="823" spans="3:18" x14ac:dyDescent="0.25">
      <c r="C823" s="9">
        <f t="shared" si="65"/>
        <v>36.775999999999989</v>
      </c>
      <c r="D823" s="10">
        <f t="shared" si="66"/>
        <v>1.1374050889532472</v>
      </c>
      <c r="E823" s="9">
        <f t="shared" si="67"/>
        <v>72.013999999999925</v>
      </c>
      <c r="F823" s="10">
        <f t="shared" si="68"/>
        <v>-5.8533264186452154</v>
      </c>
      <c r="G823" s="9">
        <f t="shared" si="69"/>
        <v>36.475999999999992</v>
      </c>
      <c r="H823" s="10">
        <f t="shared" si="70"/>
        <v>1.1119282307710447</v>
      </c>
      <c r="I823" s="9">
        <f t="shared" si="71"/>
        <v>71.960000000000136</v>
      </c>
      <c r="J823" s="10">
        <f t="shared" si="72"/>
        <v>2.7350000000000083</v>
      </c>
      <c r="K823" s="9">
        <f t="shared" si="73"/>
        <v>37.102999999999973</v>
      </c>
      <c r="L823" s="10">
        <f t="shared" si="74"/>
        <v>0.43790970510934757</v>
      </c>
      <c r="M823" s="9">
        <f t="shared" si="75"/>
        <v>79.52699999999993</v>
      </c>
      <c r="N823" s="10">
        <f t="shared" si="76"/>
        <v>-5.2801428675560809</v>
      </c>
      <c r="O823" s="9">
        <f t="shared" si="77"/>
        <v>37.521999999999998</v>
      </c>
      <c r="P823" s="10">
        <f t="shared" si="63"/>
        <v>-4.0082152033312599E-2</v>
      </c>
      <c r="Q823" s="9">
        <f t="shared" si="78"/>
        <v>77.779999999999845</v>
      </c>
      <c r="R823" s="10">
        <f t="shared" si="64"/>
        <v>-1.4773329425556863</v>
      </c>
    </row>
    <row r="824" spans="3:18" x14ac:dyDescent="0.25">
      <c r="C824" s="9">
        <f t="shared" si="65"/>
        <v>37.011999999999986</v>
      </c>
      <c r="D824" s="10">
        <f t="shared" si="66"/>
        <v>1.1502181216383938</v>
      </c>
      <c r="E824" s="9">
        <f t="shared" si="67"/>
        <v>72.367999999999924</v>
      </c>
      <c r="F824" s="10">
        <f t="shared" si="68"/>
        <v>-5.8066143475348611</v>
      </c>
      <c r="G824" s="9">
        <f t="shared" si="69"/>
        <v>36.711999999999989</v>
      </c>
      <c r="H824" s="10">
        <f t="shared" si="70"/>
        <v>1.1171395240229258</v>
      </c>
      <c r="I824" s="9">
        <f t="shared" si="71"/>
        <v>72.520000000000138</v>
      </c>
      <c r="J824" s="10">
        <f t="shared" si="72"/>
        <v>2.7700000000000085</v>
      </c>
      <c r="K824" s="9">
        <f t="shared" si="73"/>
        <v>37.33599999999997</v>
      </c>
      <c r="L824" s="10">
        <f t="shared" si="74"/>
        <v>0.44333904950208491</v>
      </c>
      <c r="M824" s="9">
        <f t="shared" si="75"/>
        <v>80.123999999999924</v>
      </c>
      <c r="N824" s="10">
        <f t="shared" si="76"/>
        <v>-5.2846251041989856</v>
      </c>
      <c r="O824" s="9">
        <f t="shared" si="77"/>
        <v>37.763999999999996</v>
      </c>
      <c r="P824" s="10">
        <f t="shared" si="63"/>
        <v>-4.1097900239213184E-2</v>
      </c>
      <c r="Q824" s="9">
        <f t="shared" si="78"/>
        <v>78.359999999999843</v>
      </c>
      <c r="R824" s="10">
        <f t="shared" si="64"/>
        <v>-1.4768229777256745</v>
      </c>
    </row>
    <row r="825" spans="3:18" x14ac:dyDescent="0.25">
      <c r="C825" s="9">
        <f t="shared" si="65"/>
        <v>37.247999999999983</v>
      </c>
      <c r="D825" s="10">
        <f t="shared" si="66"/>
        <v>1.1630311543235408</v>
      </c>
      <c r="E825" s="9">
        <f t="shared" si="67"/>
        <v>72.721999999999923</v>
      </c>
      <c r="F825" s="10">
        <f t="shared" si="68"/>
        <v>-5.7599022764245067</v>
      </c>
      <c r="G825" s="9">
        <f t="shared" si="69"/>
        <v>36.947999999999986</v>
      </c>
      <c r="H825" s="10">
        <f t="shared" si="70"/>
        <v>1.1223508172748069</v>
      </c>
      <c r="I825" s="9">
        <f t="shared" si="71"/>
        <v>73.08000000000014</v>
      </c>
      <c r="J825" s="10">
        <f t="shared" si="72"/>
        <v>2.8050000000000086</v>
      </c>
      <c r="K825" s="9">
        <f t="shared" si="73"/>
        <v>37.568999999999967</v>
      </c>
      <c r="L825" s="10">
        <f t="shared" si="74"/>
        <v>0.44876839389482237</v>
      </c>
      <c r="M825" s="9">
        <f t="shared" si="75"/>
        <v>80.720999999999918</v>
      </c>
      <c r="N825" s="10">
        <f t="shared" si="76"/>
        <v>-5.2891073408418903</v>
      </c>
      <c r="O825" s="9">
        <f t="shared" si="77"/>
        <v>38.005999999999993</v>
      </c>
      <c r="P825" s="10">
        <f t="shared" si="63"/>
        <v>-4.2113648445113769E-2</v>
      </c>
      <c r="Q825" s="9">
        <f t="shared" si="78"/>
        <v>78.939999999999841</v>
      </c>
      <c r="R825" s="10">
        <f t="shared" si="64"/>
        <v>-1.4763130128956627</v>
      </c>
    </row>
    <row r="826" spans="3:18" x14ac:dyDescent="0.25">
      <c r="C826" s="9">
        <f t="shared" si="65"/>
        <v>37.48399999999998</v>
      </c>
      <c r="D826" s="10">
        <f t="shared" si="66"/>
        <v>1.1758441870086873</v>
      </c>
      <c r="E826" s="9">
        <f t="shared" si="67"/>
        <v>73.075999999999922</v>
      </c>
      <c r="F826" s="10">
        <f t="shared" si="68"/>
        <v>-5.7131902053141506</v>
      </c>
      <c r="G826" s="9">
        <f t="shared" si="69"/>
        <v>37.183999999999983</v>
      </c>
      <c r="H826" s="10">
        <f t="shared" si="70"/>
        <v>1.1275621105266878</v>
      </c>
      <c r="I826" s="9">
        <f t="shared" si="71"/>
        <v>73.640000000000143</v>
      </c>
      <c r="J826" s="10">
        <f t="shared" si="72"/>
        <v>2.8400000000000087</v>
      </c>
      <c r="K826" s="9">
        <f t="shared" si="73"/>
        <v>37.801999999999964</v>
      </c>
      <c r="L826" s="10">
        <f t="shared" si="74"/>
        <v>0.45419773828755972</v>
      </c>
      <c r="M826" s="9">
        <f t="shared" si="75"/>
        <v>81.317999999999913</v>
      </c>
      <c r="N826" s="10">
        <f t="shared" si="76"/>
        <v>-5.293589577484795</v>
      </c>
      <c r="O826" s="9">
        <f t="shared" si="77"/>
        <v>38.24799999999999</v>
      </c>
      <c r="P826" s="10">
        <f t="shared" si="63"/>
        <v>-4.3129396651014354E-2</v>
      </c>
      <c r="Q826" s="9">
        <f t="shared" si="78"/>
        <v>79.51999999999984</v>
      </c>
      <c r="R826" s="10">
        <f t="shared" si="64"/>
        <v>-1.475803048065651</v>
      </c>
    </row>
    <row r="827" spans="3:18" x14ac:dyDescent="0.25">
      <c r="C827" s="9">
        <f t="shared" si="65"/>
        <v>37.719999999999978</v>
      </c>
      <c r="D827" s="10">
        <f t="shared" si="66"/>
        <v>1.1886572196938339</v>
      </c>
      <c r="E827" s="9">
        <f t="shared" si="67"/>
        <v>73.429999999999922</v>
      </c>
      <c r="F827" s="10">
        <f t="shared" si="68"/>
        <v>-5.6664781342037962</v>
      </c>
      <c r="G827" s="9">
        <f t="shared" si="69"/>
        <v>37.41999999999998</v>
      </c>
      <c r="H827" s="10">
        <f t="shared" si="70"/>
        <v>1.1327734037785686</v>
      </c>
      <c r="I827" s="9">
        <f t="shared" si="71"/>
        <v>74.200000000000145</v>
      </c>
      <c r="J827" s="10">
        <f t="shared" si="72"/>
        <v>2.8750000000000089</v>
      </c>
      <c r="K827" s="9">
        <f t="shared" si="73"/>
        <v>38.034999999999961</v>
      </c>
      <c r="L827" s="10">
        <f t="shared" si="74"/>
        <v>0.45962708268029706</v>
      </c>
      <c r="M827" s="9">
        <f t="shared" si="75"/>
        <v>81.914999999999907</v>
      </c>
      <c r="N827" s="10">
        <f t="shared" si="76"/>
        <v>-5.2980718141276997</v>
      </c>
      <c r="O827" s="9">
        <f t="shared" si="77"/>
        <v>38.489999999999988</v>
      </c>
      <c r="P827" s="10">
        <f t="shared" si="63"/>
        <v>-4.4145144856914939E-2</v>
      </c>
      <c r="Q827" s="9">
        <f t="shared" si="78"/>
        <v>80.099999999999838</v>
      </c>
      <c r="R827" s="10">
        <f t="shared" si="64"/>
        <v>-1.4752930832356392</v>
      </c>
    </row>
    <row r="828" spans="3:18" x14ac:dyDescent="0.25">
      <c r="C828" s="9">
        <f t="shared" si="65"/>
        <v>37.955999999999975</v>
      </c>
      <c r="D828" s="10">
        <f t="shared" si="66"/>
        <v>1.2014702523789809</v>
      </c>
      <c r="E828" s="9">
        <f t="shared" si="67"/>
        <v>73.783999999999921</v>
      </c>
      <c r="F828" s="10">
        <f t="shared" si="68"/>
        <v>-5.6197660630934418</v>
      </c>
      <c r="G828" s="9">
        <f t="shared" si="69"/>
        <v>37.655999999999977</v>
      </c>
      <c r="H828" s="10">
        <f t="shared" si="70"/>
        <v>1.1379846970304497</v>
      </c>
      <c r="I828" s="9">
        <f t="shared" si="71"/>
        <v>74.760000000000147</v>
      </c>
      <c r="J828" s="10">
        <f t="shared" si="72"/>
        <v>2.910000000000009</v>
      </c>
      <c r="K828" s="9">
        <f t="shared" si="73"/>
        <v>38.267999999999958</v>
      </c>
      <c r="L828" s="10">
        <f t="shared" si="74"/>
        <v>0.46505642707303441</v>
      </c>
      <c r="M828" s="9">
        <f t="shared" si="75"/>
        <v>82.511999999999901</v>
      </c>
      <c r="N828" s="10">
        <f t="shared" si="76"/>
        <v>-5.3025540507706053</v>
      </c>
      <c r="O828" s="9">
        <f t="shared" si="77"/>
        <v>38.731999999999985</v>
      </c>
      <c r="P828" s="10">
        <f>$F$553+$F$554*O828</f>
        <v>-4.5160893062815524E-2</v>
      </c>
      <c r="Q828" s="9">
        <f t="shared" si="78"/>
        <v>80.679999999999836</v>
      </c>
      <c r="R828" s="10">
        <f>$M$553+$M$554*Q828</f>
        <v>-1.4747831184056277</v>
      </c>
    </row>
    <row r="829" spans="3:18" x14ac:dyDescent="0.25">
      <c r="C829" s="9">
        <f t="shared" si="65"/>
        <v>38.191999999999972</v>
      </c>
      <c r="D829" s="10">
        <f t="shared" si="66"/>
        <v>1.2142832850641274</v>
      </c>
      <c r="E829" s="9">
        <f t="shared" si="67"/>
        <v>74.13799999999992</v>
      </c>
      <c r="F829" s="10">
        <f t="shared" si="68"/>
        <v>-5.5730539919830857</v>
      </c>
      <c r="G829" s="9">
        <f t="shared" si="69"/>
        <v>37.891999999999975</v>
      </c>
      <c r="H829" s="10">
        <f t="shared" si="70"/>
        <v>1.1431959902823308</v>
      </c>
      <c r="I829" s="9">
        <f t="shared" si="71"/>
        <v>75.320000000000149</v>
      </c>
      <c r="J829" s="10">
        <f t="shared" si="72"/>
        <v>2.9450000000000092</v>
      </c>
      <c r="K829" s="9">
        <f t="shared" si="73"/>
        <v>38.500999999999955</v>
      </c>
      <c r="L829" s="10">
        <f t="shared" si="74"/>
        <v>0.47048577146577186</v>
      </c>
      <c r="M829" s="9">
        <f t="shared" si="75"/>
        <v>83.108999999999895</v>
      </c>
      <c r="N829" s="10">
        <f t="shared" si="76"/>
        <v>-5.30703628741351</v>
      </c>
      <c r="O829" s="9">
        <f t="shared" si="77"/>
        <v>38.973999999999982</v>
      </c>
      <c r="P829" s="10">
        <f>$F$553+$F$554*O829</f>
        <v>-4.6176641268716109E-2</v>
      </c>
      <c r="Q829" s="9">
        <f t="shared" si="78"/>
        <v>81.259999999999835</v>
      </c>
      <c r="R829" s="10">
        <f>$M$553+$M$554*Q829</f>
        <v>-1.4742731535756159</v>
      </c>
    </row>
    <row r="830" spans="3:18" x14ac:dyDescent="0.25">
      <c r="C830" s="9">
        <f t="shared" si="65"/>
        <v>38.427999999999969</v>
      </c>
      <c r="D830" s="10">
        <f t="shared" si="66"/>
        <v>1.227096317749274</v>
      </c>
      <c r="E830" s="9">
        <f t="shared" si="67"/>
        <v>74.491999999999919</v>
      </c>
      <c r="F830" s="10">
        <f t="shared" si="68"/>
        <v>-5.5263419208727314</v>
      </c>
      <c r="G830" s="9">
        <f t="shared" si="69"/>
        <v>38.127999999999972</v>
      </c>
      <c r="H830" s="10">
        <f t="shared" si="70"/>
        <v>1.1484072835342116</v>
      </c>
      <c r="I830" s="9">
        <f t="shared" si="71"/>
        <v>75.880000000000152</v>
      </c>
      <c r="J830" s="10">
        <f t="shared" si="72"/>
        <v>2.9800000000000093</v>
      </c>
      <c r="K830" s="9">
        <f t="shared" si="73"/>
        <v>38.733999999999952</v>
      </c>
      <c r="L830" s="10">
        <f t="shared" si="74"/>
        <v>0.47591511585850921</v>
      </c>
      <c r="M830" s="9">
        <f t="shared" si="75"/>
        <v>83.705999999999889</v>
      </c>
      <c r="N830" s="10">
        <f t="shared" si="76"/>
        <v>-5.3115185240564147</v>
      </c>
      <c r="O830" s="9">
        <f t="shared" si="77"/>
        <v>39.21599999999998</v>
      </c>
      <c r="P830" s="10">
        <f>$F$553+$F$554*O830</f>
        <v>-4.7192389474616694E-2</v>
      </c>
      <c r="Q830" s="9">
        <f t="shared" si="78"/>
        <v>81.839999999999833</v>
      </c>
      <c r="R830" s="10">
        <f>$M$553+$M$554*Q830</f>
        <v>-1.4737631887456042</v>
      </c>
    </row>
    <row r="831" spans="3:18" x14ac:dyDescent="0.25">
      <c r="C831" s="9">
        <f t="shared" si="65"/>
        <v>38.663999999999966</v>
      </c>
      <c r="D831" s="10">
        <f t="shared" si="66"/>
        <v>1.239909350434421</v>
      </c>
      <c r="E831" s="9">
        <f t="shared" si="67"/>
        <v>74.845999999999918</v>
      </c>
      <c r="F831" s="10">
        <f t="shared" si="68"/>
        <v>-5.479629849762377</v>
      </c>
      <c r="G831" s="9">
        <f t="shared" si="69"/>
        <v>38.363999999999969</v>
      </c>
      <c r="H831" s="10">
        <f t="shared" si="70"/>
        <v>1.1536185767860925</v>
      </c>
      <c r="I831" s="9">
        <f t="shared" si="71"/>
        <v>76.440000000000154</v>
      </c>
      <c r="J831" s="10">
        <f t="shared" si="72"/>
        <v>3.0150000000000095</v>
      </c>
      <c r="K831" s="9">
        <f t="shared" si="73"/>
        <v>38.966999999999949</v>
      </c>
      <c r="L831" s="10">
        <f t="shared" si="74"/>
        <v>0.48134446025124655</v>
      </c>
      <c r="M831" s="9">
        <f t="shared" si="75"/>
        <v>84.302999999999884</v>
      </c>
      <c r="N831" s="10">
        <f t="shared" si="76"/>
        <v>-5.3160007606993194</v>
      </c>
      <c r="O831" s="9">
        <f t="shared" si="77"/>
        <v>39.457999999999977</v>
      </c>
      <c r="P831" s="10">
        <f>$F$553+$F$554*O831</f>
        <v>-4.820813768051728E-2</v>
      </c>
      <c r="Q831" s="9">
        <f t="shared" si="78"/>
        <v>82.419999999999831</v>
      </c>
      <c r="R831" s="10">
        <f>$M$553+$M$554*Q831</f>
        <v>-1.4732532239155924</v>
      </c>
    </row>
    <row r="832" spans="3:18" ht="15.75" thickBot="1" x14ac:dyDescent="0.3">
      <c r="C832" s="11">
        <f t="shared" si="65"/>
        <v>38.899999999999963</v>
      </c>
      <c r="D832" s="12">
        <f t="shared" si="66"/>
        <v>1.2527223831195675</v>
      </c>
      <c r="E832" s="11">
        <f t="shared" si="67"/>
        <v>75.199999999999918</v>
      </c>
      <c r="F832" s="12">
        <f t="shared" si="68"/>
        <v>-5.4329177786520209</v>
      </c>
      <c r="G832" s="9">
        <f t="shared" si="69"/>
        <v>38.599999999999966</v>
      </c>
      <c r="H832" s="10">
        <f t="shared" si="70"/>
        <v>1.1588298700379736</v>
      </c>
      <c r="I832" s="9">
        <f t="shared" si="71"/>
        <v>77.000000000000156</v>
      </c>
      <c r="J832" s="10">
        <f t="shared" si="72"/>
        <v>3.0500000000000096</v>
      </c>
      <c r="K832" s="11">
        <f t="shared" si="73"/>
        <v>39.199999999999946</v>
      </c>
      <c r="L832" s="12">
        <f t="shared" si="74"/>
        <v>0.4867738046439839</v>
      </c>
      <c r="M832" s="11">
        <f t="shared" si="75"/>
        <v>84.899999999999878</v>
      </c>
      <c r="N832" s="12">
        <f t="shared" si="76"/>
        <v>-5.320482997342225</v>
      </c>
      <c r="O832" s="11">
        <f t="shared" si="77"/>
        <v>39.699999999999974</v>
      </c>
      <c r="P832" s="12">
        <f>$F$553+$F$554*O832</f>
        <v>-4.9223885886417837E-2</v>
      </c>
      <c r="Q832" s="11">
        <f t="shared" si="78"/>
        <v>82.999999999999829</v>
      </c>
      <c r="R832" s="12">
        <f>$M$553+$M$554*Q832</f>
        <v>-1.4727432590855807</v>
      </c>
    </row>
  </sheetData>
  <sheetProtection algorithmName="SHA-512" hashValue="yUf03pY8bWRdMiRzlAmZ3IbLVxSst1qYFL3gZqIfb3WHxlJjiFgILWvxFPP73FbEYyu06Ht9aYYKJjgs+vpsUQ==" saltValue="sdfod239ZGf5lulERYxLSg==" spinCount="100000" sheet="1" objects="1" scenarios="1"/>
  <mergeCells count="540">
    <mergeCell ref="B474:D474"/>
    <mergeCell ref="I474:K474"/>
    <mergeCell ref="B475:D475"/>
    <mergeCell ref="I475:K475"/>
    <mergeCell ref="G728:H729"/>
    <mergeCell ref="I728:J729"/>
    <mergeCell ref="B468:G470"/>
    <mergeCell ref="I468:N470"/>
    <mergeCell ref="B471:D473"/>
    <mergeCell ref="E471:E473"/>
    <mergeCell ref="F471:F473"/>
    <mergeCell ref="G471:G473"/>
    <mergeCell ref="I471:K473"/>
    <mergeCell ref="L471:L473"/>
    <mergeCell ref="M471:M473"/>
    <mergeCell ref="N471:N473"/>
    <mergeCell ref="B519:D519"/>
    <mergeCell ref="I519:K519"/>
    <mergeCell ref="B520:D520"/>
    <mergeCell ref="I520:K520"/>
    <mergeCell ref="N502:N504"/>
    <mergeCell ref="B508:C511"/>
    <mergeCell ref="D508:E508"/>
    <mergeCell ref="I508:J511"/>
    <mergeCell ref="I457:I459"/>
    <mergeCell ref="J457:J459"/>
    <mergeCell ref="K457:K459"/>
    <mergeCell ref="L457:L459"/>
    <mergeCell ref="M457:M459"/>
    <mergeCell ref="N457:N459"/>
    <mergeCell ref="B463:C466"/>
    <mergeCell ref="D463:E463"/>
    <mergeCell ref="I463:J466"/>
    <mergeCell ref="K463:L463"/>
    <mergeCell ref="D464:E464"/>
    <mergeCell ref="K464:L464"/>
    <mergeCell ref="D465:E465"/>
    <mergeCell ref="K465:L465"/>
    <mergeCell ref="D466:E466"/>
    <mergeCell ref="K466:L466"/>
    <mergeCell ref="Q728:R729"/>
    <mergeCell ref="B592:B594"/>
    <mergeCell ref="C592:C594"/>
    <mergeCell ref="J267:N276"/>
    <mergeCell ref="B204:G206"/>
    <mergeCell ref="I204:N206"/>
    <mergeCell ref="B207:D209"/>
    <mergeCell ref="E207:G209"/>
    <mergeCell ref="I207:K209"/>
    <mergeCell ref="L207:N209"/>
    <mergeCell ref="D229:E229"/>
    <mergeCell ref="K229:L229"/>
    <mergeCell ref="C231:G233"/>
    <mergeCell ref="C234:C236"/>
    <mergeCell ref="D234:D236"/>
    <mergeCell ref="E234:E236"/>
    <mergeCell ref="B210:B212"/>
    <mergeCell ref="C210:C212"/>
    <mergeCell ref="D210:D212"/>
    <mergeCell ref="E210:E212"/>
    <mergeCell ref="F210:F212"/>
    <mergeCell ref="G210:G212"/>
    <mergeCell ref="G234:G236"/>
    <mergeCell ref="B224:C229"/>
    <mergeCell ref="K728:L729"/>
    <mergeCell ref="M728:N729"/>
    <mergeCell ref="B513:G515"/>
    <mergeCell ref="I513:N515"/>
    <mergeCell ref="B516:D518"/>
    <mergeCell ref="E516:E518"/>
    <mergeCell ref="F516:F518"/>
    <mergeCell ref="G516:G518"/>
    <mergeCell ref="I516:K518"/>
    <mergeCell ref="L516:L518"/>
    <mergeCell ref="M516:M518"/>
    <mergeCell ref="N516:N518"/>
    <mergeCell ref="C622:D623"/>
    <mergeCell ref="B620:N620"/>
    <mergeCell ref="E622:F623"/>
    <mergeCell ref="G622:H623"/>
    <mergeCell ref="A584:O584"/>
    <mergeCell ref="B586:G588"/>
    <mergeCell ref="I586:N588"/>
    <mergeCell ref="B589:D591"/>
    <mergeCell ref="O728:P729"/>
    <mergeCell ref="B564:D564"/>
    <mergeCell ref="I564:K564"/>
    <mergeCell ref="B565:D565"/>
    <mergeCell ref="I565:K565"/>
    <mergeCell ref="A494:O494"/>
    <mergeCell ref="B496:G498"/>
    <mergeCell ref="I496:N498"/>
    <mergeCell ref="B499:D501"/>
    <mergeCell ref="E499:G501"/>
    <mergeCell ref="I499:K501"/>
    <mergeCell ref="L499:N501"/>
    <mergeCell ref="B502:B504"/>
    <mergeCell ref="C502:C504"/>
    <mergeCell ref="D502:D504"/>
    <mergeCell ref="E502:E504"/>
    <mergeCell ref="F502:F504"/>
    <mergeCell ref="G502:G504"/>
    <mergeCell ref="I502:I504"/>
    <mergeCell ref="J502:J504"/>
    <mergeCell ref="K502:K504"/>
    <mergeCell ref="L502:L504"/>
    <mergeCell ref="M502:M504"/>
    <mergeCell ref="B558:G560"/>
    <mergeCell ref="I558:N560"/>
    <mergeCell ref="B561:D563"/>
    <mergeCell ref="E561:E563"/>
    <mergeCell ref="F561:F563"/>
    <mergeCell ref="G561:G563"/>
    <mergeCell ref="I561:K563"/>
    <mergeCell ref="L561:L563"/>
    <mergeCell ref="M561:M563"/>
    <mergeCell ref="N561:N563"/>
    <mergeCell ref="K508:L508"/>
    <mergeCell ref="D509:E509"/>
    <mergeCell ref="K509:L509"/>
    <mergeCell ref="D510:E510"/>
    <mergeCell ref="K510:L510"/>
    <mergeCell ref="D511:E511"/>
    <mergeCell ref="K511:L511"/>
    <mergeCell ref="L547:L549"/>
    <mergeCell ref="M547:M549"/>
    <mergeCell ref="N547:N549"/>
    <mergeCell ref="B553:C556"/>
    <mergeCell ref="D553:E553"/>
    <mergeCell ref="I553:J556"/>
    <mergeCell ref="K553:L553"/>
    <mergeCell ref="D554:E554"/>
    <mergeCell ref="K554:L554"/>
    <mergeCell ref="D555:E555"/>
    <mergeCell ref="K555:L555"/>
    <mergeCell ref="D556:E556"/>
    <mergeCell ref="K556:L556"/>
    <mergeCell ref="B547:B549"/>
    <mergeCell ref="C547:C549"/>
    <mergeCell ref="D547:D549"/>
    <mergeCell ref="E547:E549"/>
    <mergeCell ref="F547:F549"/>
    <mergeCell ref="G547:G549"/>
    <mergeCell ref="I547:I549"/>
    <mergeCell ref="J547:J549"/>
    <mergeCell ref="K547:K549"/>
    <mergeCell ref="B429:D429"/>
    <mergeCell ref="I429:K429"/>
    <mergeCell ref="B430:D430"/>
    <mergeCell ref="I430:K430"/>
    <mergeCell ref="A539:O539"/>
    <mergeCell ref="B541:G543"/>
    <mergeCell ref="I541:N543"/>
    <mergeCell ref="B544:D546"/>
    <mergeCell ref="E544:G546"/>
    <mergeCell ref="I544:K546"/>
    <mergeCell ref="L544:N546"/>
    <mergeCell ref="A449:O449"/>
    <mergeCell ref="B451:G453"/>
    <mergeCell ref="I451:N453"/>
    <mergeCell ref="B454:D456"/>
    <mergeCell ref="E454:G456"/>
    <mergeCell ref="I454:K456"/>
    <mergeCell ref="L454:N456"/>
    <mergeCell ref="B457:B459"/>
    <mergeCell ref="C457:C459"/>
    <mergeCell ref="D457:D459"/>
    <mergeCell ref="E457:E459"/>
    <mergeCell ref="F457:F459"/>
    <mergeCell ref="G457:G459"/>
    <mergeCell ref="M411:M413"/>
    <mergeCell ref="N411:N413"/>
    <mergeCell ref="B418:C421"/>
    <mergeCell ref="D418:E418"/>
    <mergeCell ref="I418:J421"/>
    <mergeCell ref="K418:L418"/>
    <mergeCell ref="D419:E419"/>
    <mergeCell ref="K419:L419"/>
    <mergeCell ref="D420:E420"/>
    <mergeCell ref="K420:L420"/>
    <mergeCell ref="D421:E421"/>
    <mergeCell ref="K421:L421"/>
    <mergeCell ref="K33:L33"/>
    <mergeCell ref="B55:B64"/>
    <mergeCell ref="I55:I64"/>
    <mergeCell ref="J55:N64"/>
    <mergeCell ref="B75:B84"/>
    <mergeCell ref="B85:B94"/>
    <mergeCell ref="C728:D729"/>
    <mergeCell ref="E728:F729"/>
    <mergeCell ref="A403:O403"/>
    <mergeCell ref="B405:G407"/>
    <mergeCell ref="I405:N407"/>
    <mergeCell ref="B408:D410"/>
    <mergeCell ref="E408:G410"/>
    <mergeCell ref="I408:K410"/>
    <mergeCell ref="L408:N410"/>
    <mergeCell ref="B411:B413"/>
    <mergeCell ref="C411:C413"/>
    <mergeCell ref="D411:D413"/>
    <mergeCell ref="E411:E413"/>
    <mergeCell ref="F411:F413"/>
    <mergeCell ref="G411:G413"/>
    <mergeCell ref="I411:I413"/>
    <mergeCell ref="J411:J413"/>
    <mergeCell ref="K411:K413"/>
    <mergeCell ref="A1:C6"/>
    <mergeCell ref="J1:L2"/>
    <mergeCell ref="J3:L4"/>
    <mergeCell ref="J5:L6"/>
    <mergeCell ref="B10:G12"/>
    <mergeCell ref="I10:N12"/>
    <mergeCell ref="D1:I6"/>
    <mergeCell ref="A8:O8"/>
    <mergeCell ref="B108:G110"/>
    <mergeCell ref="I108:N110"/>
    <mergeCell ref="C42:C44"/>
    <mergeCell ref="D42:D44"/>
    <mergeCell ref="M16:M18"/>
    <mergeCell ref="I32:J37"/>
    <mergeCell ref="B13:D15"/>
    <mergeCell ref="E13:G15"/>
    <mergeCell ref="I13:K15"/>
    <mergeCell ref="L13:N15"/>
    <mergeCell ref="I16:I18"/>
    <mergeCell ref="J16:J18"/>
    <mergeCell ref="N16:N18"/>
    <mergeCell ref="F16:F18"/>
    <mergeCell ref="D35:E35"/>
    <mergeCell ref="K35:L35"/>
    <mergeCell ref="B45:B54"/>
    <mergeCell ref="I45:I54"/>
    <mergeCell ref="K16:K18"/>
    <mergeCell ref="L16:L18"/>
    <mergeCell ref="D32:E32"/>
    <mergeCell ref="B16:B18"/>
    <mergeCell ref="C16:C18"/>
    <mergeCell ref="D16:D18"/>
    <mergeCell ref="E16:E18"/>
    <mergeCell ref="D36:E36"/>
    <mergeCell ref="D33:E33"/>
    <mergeCell ref="B32:C37"/>
    <mergeCell ref="E42:E44"/>
    <mergeCell ref="F42:F44"/>
    <mergeCell ref="G42:G44"/>
    <mergeCell ref="C39:G41"/>
    <mergeCell ref="G16:G18"/>
    <mergeCell ref="D37:E37"/>
    <mergeCell ref="B39:B44"/>
    <mergeCell ref="K36:L36"/>
    <mergeCell ref="D34:E34"/>
    <mergeCell ref="K34:L34"/>
    <mergeCell ref="K37:L37"/>
    <mergeCell ref="K32:L32"/>
    <mergeCell ref="D132:E132"/>
    <mergeCell ref="K132:L132"/>
    <mergeCell ref="I39:N41"/>
    <mergeCell ref="I42:I44"/>
    <mergeCell ref="K42:K44"/>
    <mergeCell ref="M42:M44"/>
    <mergeCell ref="J42:J44"/>
    <mergeCell ref="L42:L44"/>
    <mergeCell ref="N42:N44"/>
    <mergeCell ref="I95:I104"/>
    <mergeCell ref="J45:N54"/>
    <mergeCell ref="J65:N74"/>
    <mergeCell ref="J95:N104"/>
    <mergeCell ref="I75:I84"/>
    <mergeCell ref="J75:N84"/>
    <mergeCell ref="D130:E130"/>
    <mergeCell ref="K130:L130"/>
    <mergeCell ref="J85:N94"/>
    <mergeCell ref="I114:I116"/>
    <mergeCell ref="J114:J116"/>
    <mergeCell ref="K114:K116"/>
    <mergeCell ref="L114:L116"/>
    <mergeCell ref="M114:M116"/>
    <mergeCell ref="N114:N116"/>
    <mergeCell ref="J138:J140"/>
    <mergeCell ref="B65:B74"/>
    <mergeCell ref="B95:B104"/>
    <mergeCell ref="B171:B180"/>
    <mergeCell ref="B191:B200"/>
    <mergeCell ref="B135:B140"/>
    <mergeCell ref="B141:B150"/>
    <mergeCell ref="J191:N200"/>
    <mergeCell ref="I135:N137"/>
    <mergeCell ref="I138:I140"/>
    <mergeCell ref="D133:E133"/>
    <mergeCell ref="N138:N140"/>
    <mergeCell ref="A106:O106"/>
    <mergeCell ref="K138:K140"/>
    <mergeCell ref="L138:L140"/>
    <mergeCell ref="B114:B116"/>
    <mergeCell ref="C114:C116"/>
    <mergeCell ref="D114:D116"/>
    <mergeCell ref="E114:E116"/>
    <mergeCell ref="F114:F116"/>
    <mergeCell ref="G114:G116"/>
    <mergeCell ref="M138:M140"/>
    <mergeCell ref="L111:N113"/>
    <mergeCell ref="I85:I94"/>
    <mergeCell ref="K224:L224"/>
    <mergeCell ref="D225:E225"/>
    <mergeCell ref="K225:L225"/>
    <mergeCell ref="D226:E226"/>
    <mergeCell ref="K226:L226"/>
    <mergeCell ref="D227:E227"/>
    <mergeCell ref="K227:L227"/>
    <mergeCell ref="B231:B236"/>
    <mergeCell ref="D228:E228"/>
    <mergeCell ref="K228:L228"/>
    <mergeCell ref="I231:N233"/>
    <mergeCell ref="I234:I236"/>
    <mergeCell ref="J234:J236"/>
    <mergeCell ref="K234:K236"/>
    <mergeCell ref="L234:L236"/>
    <mergeCell ref="M234:M236"/>
    <mergeCell ref="N234:N236"/>
    <mergeCell ref="F234:F236"/>
    <mergeCell ref="D224:E224"/>
    <mergeCell ref="I224:J229"/>
    <mergeCell ref="J141:N150"/>
    <mergeCell ref="J171:N180"/>
    <mergeCell ref="I210:I212"/>
    <mergeCell ref="I191:I200"/>
    <mergeCell ref="K210:K212"/>
    <mergeCell ref="L210:L212"/>
    <mergeCell ref="M210:M212"/>
    <mergeCell ref="N210:N212"/>
    <mergeCell ref="J210:J212"/>
    <mergeCell ref="I181:I190"/>
    <mergeCell ref="J181:N190"/>
    <mergeCell ref="A202:O202"/>
    <mergeCell ref="B161:B170"/>
    <mergeCell ref="I161:I170"/>
    <mergeCell ref="J161:N170"/>
    <mergeCell ref="B181:B190"/>
    <mergeCell ref="B111:D113"/>
    <mergeCell ref="E111:G113"/>
    <mergeCell ref="I111:K113"/>
    <mergeCell ref="I141:I150"/>
    <mergeCell ref="I171:I180"/>
    <mergeCell ref="I65:I74"/>
    <mergeCell ref="I151:I160"/>
    <mergeCell ref="D131:E131"/>
    <mergeCell ref="K131:L131"/>
    <mergeCell ref="K133:L133"/>
    <mergeCell ref="C135:G137"/>
    <mergeCell ref="C138:C140"/>
    <mergeCell ref="D138:D140"/>
    <mergeCell ref="E138:E140"/>
    <mergeCell ref="F138:F140"/>
    <mergeCell ref="G138:G140"/>
    <mergeCell ref="B128:C133"/>
    <mergeCell ref="D128:E128"/>
    <mergeCell ref="I128:J133"/>
    <mergeCell ref="K128:L128"/>
    <mergeCell ref="D129:E129"/>
    <mergeCell ref="K129:L129"/>
    <mergeCell ref="B151:B160"/>
    <mergeCell ref="J151:N160"/>
    <mergeCell ref="I237:I246"/>
    <mergeCell ref="I257:I266"/>
    <mergeCell ref="I287:I296"/>
    <mergeCell ref="J237:N246"/>
    <mergeCell ref="J257:N266"/>
    <mergeCell ref="J287:N296"/>
    <mergeCell ref="B257:B266"/>
    <mergeCell ref="B287:B296"/>
    <mergeCell ref="B237:B246"/>
    <mergeCell ref="B277:B286"/>
    <mergeCell ref="I277:I286"/>
    <mergeCell ref="J277:N286"/>
    <mergeCell ref="B247:B256"/>
    <mergeCell ref="I247:I256"/>
    <mergeCell ref="J247:N256"/>
    <mergeCell ref="B267:B276"/>
    <mergeCell ref="I267:I276"/>
    <mergeCell ref="B306:B308"/>
    <mergeCell ref="C306:C308"/>
    <mergeCell ref="D306:D308"/>
    <mergeCell ref="E306:E308"/>
    <mergeCell ref="F306:F308"/>
    <mergeCell ref="L306:L308"/>
    <mergeCell ref="M306:M308"/>
    <mergeCell ref="A298:O298"/>
    <mergeCell ref="B300:G302"/>
    <mergeCell ref="I300:N302"/>
    <mergeCell ref="B303:D305"/>
    <mergeCell ref="E303:G305"/>
    <mergeCell ref="I303:K305"/>
    <mergeCell ref="L303:N305"/>
    <mergeCell ref="K318:L318"/>
    <mergeCell ref="D319:E319"/>
    <mergeCell ref="K319:L319"/>
    <mergeCell ref="D320:E320"/>
    <mergeCell ref="K320:L320"/>
    <mergeCell ref="D322:E322"/>
    <mergeCell ref="K322:L322"/>
    <mergeCell ref="D323:E323"/>
    <mergeCell ref="K323:L323"/>
    <mergeCell ref="A333:O333"/>
    <mergeCell ref="B335:G337"/>
    <mergeCell ref="I335:N337"/>
    <mergeCell ref="B338:D340"/>
    <mergeCell ref="E338:G340"/>
    <mergeCell ref="I338:K340"/>
    <mergeCell ref="L338:N340"/>
    <mergeCell ref="G306:G308"/>
    <mergeCell ref="I306:I308"/>
    <mergeCell ref="J306:J308"/>
    <mergeCell ref="K306:K308"/>
    <mergeCell ref="B325:B330"/>
    <mergeCell ref="C325:G327"/>
    <mergeCell ref="C328:C330"/>
    <mergeCell ref="D328:D330"/>
    <mergeCell ref="E328:E330"/>
    <mergeCell ref="F328:F330"/>
    <mergeCell ref="G328:G330"/>
    <mergeCell ref="D321:E321"/>
    <mergeCell ref="K321:L321"/>
    <mergeCell ref="N306:N308"/>
    <mergeCell ref="B318:C323"/>
    <mergeCell ref="D318:E318"/>
    <mergeCell ref="I318:J323"/>
    <mergeCell ref="B341:B343"/>
    <mergeCell ref="C341:C343"/>
    <mergeCell ref="D341:D343"/>
    <mergeCell ref="E341:E343"/>
    <mergeCell ref="F341:F343"/>
    <mergeCell ref="G341:G343"/>
    <mergeCell ref="I341:I343"/>
    <mergeCell ref="J341:J343"/>
    <mergeCell ref="K341:K343"/>
    <mergeCell ref="L341:L343"/>
    <mergeCell ref="M341:M343"/>
    <mergeCell ref="N341:N343"/>
    <mergeCell ref="I353:J357"/>
    <mergeCell ref="K353:L353"/>
    <mergeCell ref="D354:E354"/>
    <mergeCell ref="K354:L354"/>
    <mergeCell ref="D355:E355"/>
    <mergeCell ref="K355:L355"/>
    <mergeCell ref="D356:E356"/>
    <mergeCell ref="K356:L356"/>
    <mergeCell ref="D357:E357"/>
    <mergeCell ref="K357:L357"/>
    <mergeCell ref="B359:B364"/>
    <mergeCell ref="C359:G361"/>
    <mergeCell ref="C362:C364"/>
    <mergeCell ref="D362:D364"/>
    <mergeCell ref="E362:E364"/>
    <mergeCell ref="F362:F364"/>
    <mergeCell ref="G362:G364"/>
    <mergeCell ref="B353:C357"/>
    <mergeCell ref="D353:E353"/>
    <mergeCell ref="A367:O367"/>
    <mergeCell ref="B369:G371"/>
    <mergeCell ref="I369:N371"/>
    <mergeCell ref="B372:D374"/>
    <mergeCell ref="E372:G374"/>
    <mergeCell ref="I372:K374"/>
    <mergeCell ref="L372:N374"/>
    <mergeCell ref="B375:B377"/>
    <mergeCell ref="C375:C377"/>
    <mergeCell ref="D375:D377"/>
    <mergeCell ref="E375:E377"/>
    <mergeCell ref="F375:F377"/>
    <mergeCell ref="G375:G377"/>
    <mergeCell ref="I375:I377"/>
    <mergeCell ref="J375:J377"/>
    <mergeCell ref="K375:K377"/>
    <mergeCell ref="L375:L377"/>
    <mergeCell ref="M375:M377"/>
    <mergeCell ref="N375:N377"/>
    <mergeCell ref="B387:C393"/>
    <mergeCell ref="D387:E387"/>
    <mergeCell ref="D389:E389"/>
    <mergeCell ref="D390:E390"/>
    <mergeCell ref="I387:J393"/>
    <mergeCell ref="K387:L387"/>
    <mergeCell ref="D388:E388"/>
    <mergeCell ref="K388:L388"/>
    <mergeCell ref="D391:E391"/>
    <mergeCell ref="K391:L391"/>
    <mergeCell ref="D392:E392"/>
    <mergeCell ref="K392:L392"/>
    <mergeCell ref="D393:E393"/>
    <mergeCell ref="K393:L393"/>
    <mergeCell ref="K389:L389"/>
    <mergeCell ref="K390:L390"/>
    <mergeCell ref="D607:E607"/>
    <mergeCell ref="K607:L607"/>
    <mergeCell ref="D608:E608"/>
    <mergeCell ref="K608:L608"/>
    <mergeCell ref="D609:E609"/>
    <mergeCell ref="K609:L609"/>
    <mergeCell ref="B395:B400"/>
    <mergeCell ref="C395:G397"/>
    <mergeCell ref="C398:C400"/>
    <mergeCell ref="D398:D400"/>
    <mergeCell ref="E398:E400"/>
    <mergeCell ref="F398:F400"/>
    <mergeCell ref="G398:G400"/>
    <mergeCell ref="L411:L413"/>
    <mergeCell ref="B423:G425"/>
    <mergeCell ref="I423:N425"/>
    <mergeCell ref="B426:D428"/>
    <mergeCell ref="E426:E428"/>
    <mergeCell ref="F426:F428"/>
    <mergeCell ref="G426:G428"/>
    <mergeCell ref="I426:K428"/>
    <mergeCell ref="L426:L428"/>
    <mergeCell ref="M426:M428"/>
    <mergeCell ref="N426:N428"/>
    <mergeCell ref="E589:G591"/>
    <mergeCell ref="I589:K591"/>
    <mergeCell ref="L589:N591"/>
    <mergeCell ref="L592:L594"/>
    <mergeCell ref="M592:M594"/>
    <mergeCell ref="N592:N594"/>
    <mergeCell ref="B611:B616"/>
    <mergeCell ref="C611:G613"/>
    <mergeCell ref="C614:C616"/>
    <mergeCell ref="D614:D616"/>
    <mergeCell ref="E614:E616"/>
    <mergeCell ref="F614:F616"/>
    <mergeCell ref="G614:G616"/>
    <mergeCell ref="B606:C609"/>
    <mergeCell ref="D606:E606"/>
    <mergeCell ref="D592:D594"/>
    <mergeCell ref="E592:E594"/>
    <mergeCell ref="F592:F594"/>
    <mergeCell ref="G592:G594"/>
    <mergeCell ref="I592:I594"/>
    <mergeCell ref="J592:J594"/>
    <mergeCell ref="K592:K594"/>
    <mergeCell ref="I606:J609"/>
    <mergeCell ref="K606:L60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C003F-A14E-460D-887D-A449C0119A7B}">
  <dimension ref="A1:CP128"/>
  <sheetViews>
    <sheetView zoomScaleNormal="100" workbookViewId="0">
      <selection activeCell="A7" sqref="A7"/>
    </sheetView>
  </sheetViews>
  <sheetFormatPr baseColWidth="10" defaultRowHeight="15" x14ac:dyDescent="0.25"/>
  <cols>
    <col min="4" max="7" width="12.5703125" customWidth="1"/>
    <col min="8" max="8" width="13.42578125" customWidth="1"/>
    <col min="9" max="94" width="12.5703125" customWidth="1"/>
  </cols>
  <sheetData>
    <row r="1" spans="1:22" ht="15" customHeight="1" thickBot="1" x14ac:dyDescent="0.3">
      <c r="A1" s="470"/>
      <c r="B1" s="470"/>
      <c r="C1" s="470"/>
      <c r="D1" s="565" t="s">
        <v>237</v>
      </c>
      <c r="E1" s="565"/>
      <c r="F1" s="565"/>
      <c r="G1" s="565"/>
      <c r="H1" s="565"/>
      <c r="I1" s="565"/>
      <c r="J1" s="565"/>
      <c r="K1" s="565"/>
      <c r="L1" s="565"/>
      <c r="M1" s="564" t="s">
        <v>408</v>
      </c>
      <c r="N1" s="564"/>
      <c r="O1" s="564"/>
    </row>
    <row r="2" spans="1:22" ht="15" customHeight="1" thickBot="1" x14ac:dyDescent="0.3">
      <c r="A2" s="470"/>
      <c r="B2" s="470"/>
      <c r="C2" s="470"/>
      <c r="D2" s="565"/>
      <c r="E2" s="565"/>
      <c r="F2" s="565"/>
      <c r="G2" s="565"/>
      <c r="H2" s="565"/>
      <c r="I2" s="565"/>
      <c r="J2" s="565"/>
      <c r="K2" s="565"/>
      <c r="L2" s="565"/>
      <c r="M2" s="564"/>
      <c r="N2" s="564"/>
      <c r="O2" s="564"/>
    </row>
    <row r="3" spans="1:22" ht="15" customHeight="1" thickBot="1" x14ac:dyDescent="0.3">
      <c r="A3" s="470"/>
      <c r="B3" s="470"/>
      <c r="C3" s="470"/>
      <c r="D3" s="565"/>
      <c r="E3" s="565"/>
      <c r="F3" s="565"/>
      <c r="G3" s="565"/>
      <c r="H3" s="565"/>
      <c r="I3" s="565"/>
      <c r="J3" s="565"/>
      <c r="K3" s="565"/>
      <c r="L3" s="565"/>
      <c r="M3" s="564" t="s">
        <v>479</v>
      </c>
      <c r="N3" s="564"/>
      <c r="O3" s="564"/>
    </row>
    <row r="4" spans="1:22" ht="15" customHeight="1" thickBot="1" x14ac:dyDescent="0.3">
      <c r="A4" s="470"/>
      <c r="B4" s="470"/>
      <c r="C4" s="470"/>
      <c r="D4" s="565"/>
      <c r="E4" s="565"/>
      <c r="F4" s="565"/>
      <c r="G4" s="565"/>
      <c r="H4" s="565"/>
      <c r="I4" s="565"/>
      <c r="J4" s="565"/>
      <c r="K4" s="565"/>
      <c r="L4" s="565"/>
      <c r="M4" s="564"/>
      <c r="N4" s="564"/>
      <c r="O4" s="564"/>
    </row>
    <row r="5" spans="1:22" ht="15" customHeight="1" thickBot="1" x14ac:dyDescent="0.3">
      <c r="A5" s="470"/>
      <c r="B5" s="470"/>
      <c r="C5" s="470"/>
      <c r="D5" s="565"/>
      <c r="E5" s="565"/>
      <c r="F5" s="565"/>
      <c r="G5" s="565"/>
      <c r="H5" s="565"/>
      <c r="I5" s="565"/>
      <c r="J5" s="565"/>
      <c r="K5" s="565"/>
      <c r="L5" s="565"/>
      <c r="M5" s="564" t="s">
        <v>478</v>
      </c>
      <c r="N5" s="564"/>
      <c r="O5" s="564"/>
    </row>
    <row r="6" spans="1:22" ht="15" customHeight="1" thickBot="1" x14ac:dyDescent="0.3">
      <c r="A6" s="470"/>
      <c r="B6" s="470"/>
      <c r="C6" s="470"/>
      <c r="D6" s="565"/>
      <c r="E6" s="565"/>
      <c r="F6" s="565"/>
      <c r="G6" s="565"/>
      <c r="H6" s="565"/>
      <c r="I6" s="565"/>
      <c r="J6" s="565"/>
      <c r="K6" s="565"/>
      <c r="L6" s="565"/>
      <c r="M6" s="564"/>
      <c r="N6" s="564"/>
      <c r="O6" s="564"/>
    </row>
    <row r="8" spans="1:22" ht="24.95" customHeight="1" x14ac:dyDescent="0.25">
      <c r="A8" s="536" t="s">
        <v>125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</row>
    <row r="10" spans="1:22" ht="18" customHeight="1" x14ac:dyDescent="0.25">
      <c r="B10" s="660" t="s">
        <v>434</v>
      </c>
      <c r="C10" s="660"/>
      <c r="D10" s="660"/>
      <c r="E10" s="660"/>
      <c r="F10" s="660"/>
      <c r="G10" s="660"/>
    </row>
    <row r="11" spans="1:22" ht="18" customHeight="1" x14ac:dyDescent="0.25">
      <c r="B11" s="660"/>
      <c r="C11" s="660"/>
      <c r="D11" s="660"/>
      <c r="E11" s="660"/>
      <c r="F11" s="660"/>
      <c r="G11" s="660"/>
    </row>
    <row r="13" spans="1:22" ht="14.45" customHeight="1" x14ac:dyDescent="0.25">
      <c r="B13" s="501" t="s">
        <v>130</v>
      </c>
      <c r="C13" s="540"/>
      <c r="D13" s="540"/>
      <c r="E13" s="540"/>
      <c r="F13" s="540"/>
      <c r="G13" s="540"/>
      <c r="H13" s="540"/>
      <c r="I13" s="540"/>
      <c r="J13" s="540"/>
      <c r="K13" s="540"/>
      <c r="L13" s="540"/>
      <c r="M13" s="540"/>
      <c r="N13" s="540"/>
      <c r="O13" s="540"/>
      <c r="P13" s="540"/>
      <c r="Q13" s="540"/>
      <c r="R13" s="540"/>
      <c r="S13" s="540"/>
      <c r="T13" s="540"/>
      <c r="U13" s="540"/>
      <c r="V13" s="541"/>
    </row>
    <row r="14" spans="1:22" x14ac:dyDescent="0.25">
      <c r="B14" s="502"/>
      <c r="C14" s="515"/>
      <c r="D14" s="515"/>
      <c r="E14" s="515"/>
      <c r="F14" s="515"/>
      <c r="G14" s="515"/>
      <c r="H14" s="515"/>
      <c r="I14" s="515"/>
      <c r="J14" s="515"/>
      <c r="K14" s="515"/>
      <c r="L14" s="515"/>
      <c r="M14" s="515"/>
      <c r="N14" s="515"/>
      <c r="O14" s="515"/>
      <c r="P14" s="515"/>
      <c r="Q14" s="515"/>
      <c r="R14" s="515"/>
      <c r="S14" s="515"/>
      <c r="T14" s="515"/>
      <c r="U14" s="515"/>
      <c r="V14" s="535"/>
    </row>
    <row r="15" spans="1:22" x14ac:dyDescent="0.25">
      <c r="B15" s="502" t="s">
        <v>138</v>
      </c>
      <c r="C15" s="515"/>
      <c r="D15" s="515"/>
      <c r="E15" s="534" t="s">
        <v>129</v>
      </c>
      <c r="F15" s="515"/>
      <c r="G15" s="515"/>
      <c r="H15" s="515" t="s">
        <v>126</v>
      </c>
      <c r="I15" s="515" t="s">
        <v>139</v>
      </c>
      <c r="J15" s="515" t="s">
        <v>128</v>
      </c>
      <c r="K15" s="515" t="s">
        <v>131</v>
      </c>
      <c r="L15" s="515"/>
      <c r="M15" s="515"/>
      <c r="N15" s="515"/>
      <c r="O15" s="589" t="s">
        <v>133</v>
      </c>
      <c r="P15" s="589"/>
      <c r="Q15" s="589" t="s">
        <v>132</v>
      </c>
      <c r="R15" s="589"/>
      <c r="S15" s="589" t="s">
        <v>154</v>
      </c>
      <c r="T15" s="589"/>
      <c r="U15" s="589" t="s">
        <v>134</v>
      </c>
      <c r="V15" s="590"/>
    </row>
    <row r="16" spans="1:22" x14ac:dyDescent="0.25">
      <c r="B16" s="502"/>
      <c r="C16" s="515"/>
      <c r="D16" s="515"/>
      <c r="E16" s="534"/>
      <c r="F16" s="515"/>
      <c r="G16" s="515"/>
      <c r="H16" s="515"/>
      <c r="I16" s="515"/>
      <c r="J16" s="515"/>
      <c r="K16" s="515"/>
      <c r="L16" s="515"/>
      <c r="M16" s="515"/>
      <c r="N16" s="515"/>
      <c r="O16" s="93" t="s">
        <v>136</v>
      </c>
      <c r="P16" s="93" t="s">
        <v>137</v>
      </c>
      <c r="Q16" s="93" t="s">
        <v>136</v>
      </c>
      <c r="R16" s="93" t="s">
        <v>137</v>
      </c>
      <c r="S16" s="93" t="s">
        <v>136</v>
      </c>
      <c r="T16" s="93" t="s">
        <v>137</v>
      </c>
      <c r="U16" s="93" t="s">
        <v>136</v>
      </c>
      <c r="V16" s="94" t="s">
        <v>137</v>
      </c>
    </row>
    <row r="17" spans="2:94" ht="17.25" x14ac:dyDescent="0.25">
      <c r="B17" s="603" t="s">
        <v>45</v>
      </c>
      <c r="C17" s="604"/>
      <c r="D17" s="605"/>
      <c r="E17" s="606" t="s">
        <v>143</v>
      </c>
      <c r="F17" s="607"/>
      <c r="G17" s="607"/>
      <c r="H17" s="29" t="s">
        <v>146</v>
      </c>
      <c r="I17" s="29" t="s">
        <v>141</v>
      </c>
      <c r="J17" s="29">
        <v>200</v>
      </c>
      <c r="K17" s="608" t="s">
        <v>148</v>
      </c>
      <c r="L17" s="608"/>
      <c r="M17" s="608"/>
      <c r="N17" s="608"/>
      <c r="O17" s="592" t="e">
        <f>('Toma de datos'!F215*'Toma de datos'!F216*'Toma de datos'!L215*EXP('Toma de datos'!F216*'Toma de datos'!L214)-'Toma de datos'!B215)/(273.15+'Toma de datos'!L214)</f>
        <v>#DIV/0!</v>
      </c>
      <c r="P17" s="592" t="s">
        <v>306</v>
      </c>
      <c r="Q17" s="104">
        <f t="array" ref="Q17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R17" s="92" t="s">
        <v>16</v>
      </c>
      <c r="S17" s="43" t="e">
        <f>Q17*O17</f>
        <v>#DIV/0!</v>
      </c>
      <c r="T17" s="92" t="s">
        <v>291</v>
      </c>
      <c r="U17" s="105" t="e">
        <f>S17*S17</f>
        <v>#DIV/0!</v>
      </c>
      <c r="V17" s="92" t="s">
        <v>308</v>
      </c>
    </row>
    <row r="18" spans="2:94" ht="17.25" x14ac:dyDescent="0.25">
      <c r="B18" s="603"/>
      <c r="C18" s="604"/>
      <c r="D18" s="605"/>
      <c r="E18" s="609" t="s">
        <v>296</v>
      </c>
      <c r="F18" s="610"/>
      <c r="G18" s="610"/>
      <c r="H18" s="1" t="s">
        <v>140</v>
      </c>
      <c r="I18" s="1" t="s">
        <v>141</v>
      </c>
      <c r="J18" s="1">
        <v>50</v>
      </c>
      <c r="K18" s="611" t="s">
        <v>142</v>
      </c>
      <c r="L18" s="611"/>
      <c r="M18" s="611"/>
      <c r="N18" s="611"/>
      <c r="O18" s="600"/>
      <c r="P18" s="600"/>
      <c r="Q18" s="57" t="e">
        <f>'Información general'!H61/SQRT(12)</f>
        <v>#N/A</v>
      </c>
      <c r="R18" s="3" t="s">
        <v>16</v>
      </c>
      <c r="S18" s="16" t="e">
        <f>Q18*O17</f>
        <v>#N/A</v>
      </c>
      <c r="T18" s="3" t="s">
        <v>291</v>
      </c>
      <c r="U18" s="54" t="e">
        <f>S18*S18</f>
        <v>#N/A</v>
      </c>
      <c r="V18" s="3" t="s">
        <v>308</v>
      </c>
    </row>
    <row r="19" spans="2:94" ht="17.25" x14ac:dyDescent="0.25">
      <c r="B19" s="603"/>
      <c r="C19" s="604"/>
      <c r="D19" s="605"/>
      <c r="E19" s="609" t="s">
        <v>145</v>
      </c>
      <c r="F19" s="610"/>
      <c r="G19" s="610"/>
      <c r="H19" s="1" t="s">
        <v>140</v>
      </c>
      <c r="I19" s="1" t="s">
        <v>141</v>
      </c>
      <c r="J19" s="1" t="b">
        <f>IF('Información general'!H60='Equipamiento y listas'!A14,COUNT(Corrección!C414:C417)-2,IF('Información general'!H60='Equipamiento y listas'!A15,COUNT(Corrección!C460:C462)-2,IF('Información general'!H60='Equipamiento y listas'!A16,COUNT(Corrección!C505:C507)-2,IF('Información general'!H60='Equipamiento y listas'!A17,COUNT(Corrección!C550:C552)-2))))</f>
        <v>0</v>
      </c>
      <c r="K19" s="611" t="s">
        <v>149</v>
      </c>
      <c r="L19" s="611"/>
      <c r="M19" s="611"/>
      <c r="N19" s="611"/>
      <c r="O19" s="600"/>
      <c r="P19" s="600"/>
      <c r="Q19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R19" s="3" t="s">
        <v>16</v>
      </c>
      <c r="S19" s="16" t="e">
        <f>Q19*O17</f>
        <v>#DIV/0!</v>
      </c>
      <c r="T19" s="3" t="s">
        <v>291</v>
      </c>
      <c r="U19" s="54" t="e">
        <f t="shared" ref="U19:U24" si="0">S19*S19</f>
        <v>#DIV/0!</v>
      </c>
      <c r="V19" s="3" t="s">
        <v>308</v>
      </c>
    </row>
    <row r="20" spans="2:94" ht="17.25" x14ac:dyDescent="0.25">
      <c r="B20" s="603" t="s">
        <v>46</v>
      </c>
      <c r="C20" s="604"/>
      <c r="D20" s="605"/>
      <c r="E20" s="609" t="s">
        <v>143</v>
      </c>
      <c r="F20" s="610"/>
      <c r="G20" s="610"/>
      <c r="H20" s="1" t="s">
        <v>146</v>
      </c>
      <c r="I20" s="1" t="s">
        <v>141</v>
      </c>
      <c r="J20" s="1">
        <v>200</v>
      </c>
      <c r="K20" s="611" t="s">
        <v>148</v>
      </c>
      <c r="L20" s="611"/>
      <c r="M20" s="611"/>
      <c r="N20" s="611"/>
      <c r="O20" s="600" t="e">
        <f>'Toma de datos'!F215*EXP('Toma de datos'!F216*'Toma de datos'!L214)/(273.15+'Toma de datos'!L214)</f>
        <v>#DIV/0!</v>
      </c>
      <c r="P20" s="600" t="s">
        <v>291</v>
      </c>
      <c r="Q20" s="57">
        <f t="array" ref="Q20">IF('Información general'!H64='Equipamiento y listas'!A18,MAX(IF(Corrección!M414:M417&lt;&gt;0,Corrección!L414:L417/Corrección!M414:M417)))+IF('Información general'!H64='Equipamiento y listas'!A19,MAX(IF(Corrección!M460:M462&lt;&gt;0,Corrección!L460:L462/Corrección!M460:M462)))+IF('Información general'!H64='Equipamiento y listas'!A20,MAX(IF(Corrección!M505:M507&lt;&gt;0,Corrección!L505:L507/Corrección!M505:M507)))+IF('Información general'!H64='Equipamiento y listas'!A21,MAX(IF(Corrección!M550:M552&lt;&gt;0,Corrección!L550:L552/Corrección!M550:M552)))</f>
        <v>0</v>
      </c>
      <c r="R20" s="3" t="s">
        <v>48</v>
      </c>
      <c r="S20" s="16" t="e">
        <f>Q20*O20</f>
        <v>#DIV/0!</v>
      </c>
      <c r="T20" s="3" t="s">
        <v>291</v>
      </c>
      <c r="U20" s="54" t="e">
        <f t="shared" si="0"/>
        <v>#DIV/0!</v>
      </c>
      <c r="V20" s="3" t="s">
        <v>308</v>
      </c>
    </row>
    <row r="21" spans="2:94" ht="17.25" x14ac:dyDescent="0.25">
      <c r="B21" s="603"/>
      <c r="C21" s="604"/>
      <c r="D21" s="605"/>
      <c r="E21" s="609" t="s">
        <v>296</v>
      </c>
      <c r="F21" s="610"/>
      <c r="G21" s="610"/>
      <c r="H21" s="1" t="s">
        <v>140</v>
      </c>
      <c r="I21" s="1" t="s">
        <v>141</v>
      </c>
      <c r="J21" s="1">
        <v>50</v>
      </c>
      <c r="K21" s="611" t="s">
        <v>142</v>
      </c>
      <c r="L21" s="611"/>
      <c r="M21" s="611"/>
      <c r="N21" s="611"/>
      <c r="O21" s="600"/>
      <c r="P21" s="600"/>
      <c r="Q21" s="57" t="e">
        <f>'Información general'!H65/SQRT(12)</f>
        <v>#N/A</v>
      </c>
      <c r="R21" s="3" t="s">
        <v>48</v>
      </c>
      <c r="S21" s="16" t="e">
        <f>Q21*O20</f>
        <v>#N/A</v>
      </c>
      <c r="T21" s="3" t="s">
        <v>291</v>
      </c>
      <c r="U21" s="54" t="e">
        <f t="shared" si="0"/>
        <v>#N/A</v>
      </c>
      <c r="V21" s="3" t="s">
        <v>308</v>
      </c>
    </row>
    <row r="22" spans="2:94" ht="17.25" x14ac:dyDescent="0.25">
      <c r="B22" s="603"/>
      <c r="C22" s="604"/>
      <c r="D22" s="605"/>
      <c r="E22" s="609" t="s">
        <v>145</v>
      </c>
      <c r="F22" s="610"/>
      <c r="G22" s="610"/>
      <c r="H22" s="1" t="s">
        <v>140</v>
      </c>
      <c r="I22" s="1" t="s">
        <v>141</v>
      </c>
      <c r="J22" s="1" t="b">
        <f>IF('Información general'!H64='Equipamiento y listas'!A18,COUNT(Corrección!J414:J417)-2,IF('Información general'!H64='Equipamiento y listas'!A19,COUNT(Corrección!J460:J462)-2,IF('Información general'!H64='Equipamiento y listas'!A20,COUNT(Corrección!J505:J507)-2,IF('Información general'!H64='Equipamiento y listas'!A21,COUNT(Corrección!J550:J552)-2))))</f>
        <v>0</v>
      </c>
      <c r="K22" s="611" t="s">
        <v>149</v>
      </c>
      <c r="L22" s="611"/>
      <c r="M22" s="611"/>
      <c r="N22" s="611"/>
      <c r="O22" s="600"/>
      <c r="P22" s="600"/>
      <c r="Q22" s="57" t="b">
        <f>IF('Información general'!H64='Equipamiento y listas'!A18,Corrección!M421,IF('Información general'!H64='Equipamiento y listas'!A19,Corrección!M466,IF('Información general'!H64='Equipamiento y listas'!A20,Corrección!M511,IF('Información general'!H64='Equipamiento y listas'!A21,Corrección!M556))))</f>
        <v>0</v>
      </c>
      <c r="R22" s="3" t="s">
        <v>48</v>
      </c>
      <c r="S22" s="16" t="e">
        <f>Q22*O20</f>
        <v>#DIV/0!</v>
      </c>
      <c r="T22" s="3" t="s">
        <v>291</v>
      </c>
      <c r="U22" s="54" t="e">
        <f>S22*S22</f>
        <v>#DIV/0!</v>
      </c>
      <c r="V22" s="3" t="s">
        <v>308</v>
      </c>
    </row>
    <row r="23" spans="2:94" ht="17.25" x14ac:dyDescent="0.25">
      <c r="B23" s="603" t="s">
        <v>297</v>
      </c>
      <c r="C23" s="604"/>
      <c r="D23" s="605"/>
      <c r="E23" s="609" t="s">
        <v>298</v>
      </c>
      <c r="F23" s="610"/>
      <c r="G23" s="610"/>
      <c r="H23" s="1" t="s">
        <v>140</v>
      </c>
      <c r="I23" s="1" t="s">
        <v>141</v>
      </c>
      <c r="J23" s="1">
        <v>10000</v>
      </c>
      <c r="K23" s="611" t="s">
        <v>299</v>
      </c>
      <c r="L23" s="611"/>
      <c r="M23" s="611"/>
      <c r="N23" s="611"/>
      <c r="O23" s="53" t="e">
        <f>'Toma de datos'!F214/(273.15+'Toma de datos'!L214)</f>
        <v>#DIV/0!</v>
      </c>
      <c r="P23" s="53" t="s">
        <v>307</v>
      </c>
      <c r="Q23" s="57">
        <f>10/SQRT(12)</f>
        <v>2.8867513459481291</v>
      </c>
      <c r="R23" s="3" t="s">
        <v>219</v>
      </c>
      <c r="S23" s="16" t="e">
        <f>Q23*O23</f>
        <v>#DIV/0!</v>
      </c>
      <c r="T23" s="3" t="s">
        <v>291</v>
      </c>
      <c r="U23" s="54" t="e">
        <f t="shared" si="0"/>
        <v>#DIV/0!</v>
      </c>
      <c r="V23" s="3" t="s">
        <v>308</v>
      </c>
    </row>
    <row r="24" spans="2:94" ht="17.25" x14ac:dyDescent="0.25">
      <c r="B24" s="680" t="s">
        <v>300</v>
      </c>
      <c r="C24" s="584"/>
      <c r="D24" s="681"/>
      <c r="E24" s="609" t="s">
        <v>301</v>
      </c>
      <c r="F24" s="611"/>
      <c r="G24" s="611"/>
      <c r="H24" s="1" t="s">
        <v>302</v>
      </c>
      <c r="I24" s="1" t="s">
        <v>141</v>
      </c>
      <c r="J24" s="1">
        <v>50</v>
      </c>
      <c r="K24" s="611" t="s">
        <v>303</v>
      </c>
      <c r="L24" s="611"/>
      <c r="M24" s="611"/>
      <c r="N24" s="611"/>
      <c r="O24" s="2">
        <v>1</v>
      </c>
      <c r="P24" s="2">
        <v>1</v>
      </c>
      <c r="Q24" s="47" t="e">
        <f>0.00024*'Toma de datos'!B215</f>
        <v>#DIV/0!</v>
      </c>
      <c r="R24" s="3" t="s">
        <v>291</v>
      </c>
      <c r="S24" s="55" t="e">
        <f>Q24*O24</f>
        <v>#DIV/0!</v>
      </c>
      <c r="T24" s="3" t="s">
        <v>291</v>
      </c>
      <c r="U24" s="54" t="e">
        <f t="shared" si="0"/>
        <v>#DIV/0!</v>
      </c>
      <c r="V24" s="3" t="s">
        <v>308</v>
      </c>
    </row>
    <row r="25" spans="2:94" ht="17.25" x14ac:dyDescent="0.25">
      <c r="Q25" s="683" t="s">
        <v>155</v>
      </c>
      <c r="R25" s="683"/>
      <c r="S25" s="683"/>
      <c r="T25" s="684" t="e">
        <f>SQRT(SUM(U17:U24))</f>
        <v>#DIV/0!</v>
      </c>
      <c r="U25" s="684"/>
      <c r="V25" s="91" t="s">
        <v>291</v>
      </c>
    </row>
    <row r="26" spans="2:94" x14ac:dyDescent="0.25">
      <c r="Q26" s="685" t="s">
        <v>127</v>
      </c>
      <c r="R26" s="685"/>
      <c r="S26" s="685"/>
      <c r="T26" s="599" t="e">
        <f>(T25^4)/SUMPRODUCT(U17:U24,U17:U24,1/J17:J24)</f>
        <v>#DIV/0!</v>
      </c>
      <c r="U26" s="587"/>
      <c r="V26" s="103"/>
    </row>
    <row r="27" spans="2:94" ht="14.45" customHeight="1" x14ac:dyDescent="0.25"/>
    <row r="28" spans="2:94" ht="18" customHeight="1" x14ac:dyDescent="0.25">
      <c r="B28" s="660" t="s">
        <v>444</v>
      </c>
      <c r="C28" s="660"/>
      <c r="D28" s="660"/>
      <c r="E28" s="660"/>
      <c r="F28" s="660"/>
      <c r="G28" s="660"/>
    </row>
    <row r="29" spans="2:94" ht="18" customHeight="1" x14ac:dyDescent="0.25">
      <c r="B29" s="660"/>
      <c r="C29" s="660"/>
      <c r="D29" s="660"/>
      <c r="E29" s="660"/>
      <c r="F29" s="660"/>
      <c r="G29" s="660"/>
    </row>
    <row r="31" spans="2:94" ht="14.45" customHeight="1" x14ac:dyDescent="0.25">
      <c r="B31" s="537" t="s">
        <v>130</v>
      </c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98"/>
      <c r="O31" s="504" t="s">
        <v>135</v>
      </c>
      <c r="P31" s="505"/>
      <c r="Q31" s="505"/>
      <c r="R31" s="505"/>
      <c r="S31" s="505"/>
      <c r="T31" s="505"/>
      <c r="U31" s="505"/>
      <c r="V31" s="598"/>
      <c r="W31" s="504" t="s">
        <v>159</v>
      </c>
      <c r="X31" s="505"/>
      <c r="Y31" s="505"/>
      <c r="Z31" s="505"/>
      <c r="AA31" s="505"/>
      <c r="AB31" s="505"/>
      <c r="AC31" s="505"/>
      <c r="AD31" s="598"/>
      <c r="AE31" s="504" t="s">
        <v>160</v>
      </c>
      <c r="AF31" s="505"/>
      <c r="AG31" s="505"/>
      <c r="AH31" s="505"/>
      <c r="AI31" s="505"/>
      <c r="AJ31" s="505"/>
      <c r="AK31" s="505"/>
      <c r="AL31" s="598"/>
      <c r="AM31" s="504" t="s">
        <v>161</v>
      </c>
      <c r="AN31" s="505"/>
      <c r="AO31" s="505"/>
      <c r="AP31" s="505"/>
      <c r="AQ31" s="505"/>
      <c r="AR31" s="505"/>
      <c r="AS31" s="505"/>
      <c r="AT31" s="598"/>
      <c r="AU31" s="504" t="s">
        <v>162</v>
      </c>
      <c r="AV31" s="505"/>
      <c r="AW31" s="505"/>
      <c r="AX31" s="505"/>
      <c r="AY31" s="505"/>
      <c r="AZ31" s="505"/>
      <c r="BA31" s="505"/>
      <c r="BB31" s="598"/>
      <c r="BC31" s="504" t="s">
        <v>163</v>
      </c>
      <c r="BD31" s="505"/>
      <c r="BE31" s="505"/>
      <c r="BF31" s="505"/>
      <c r="BG31" s="505"/>
      <c r="BH31" s="505"/>
      <c r="BI31" s="505"/>
      <c r="BJ31" s="598"/>
      <c r="BK31" s="504" t="s">
        <v>164</v>
      </c>
      <c r="BL31" s="505"/>
      <c r="BM31" s="505"/>
      <c r="BN31" s="505"/>
      <c r="BO31" s="505"/>
      <c r="BP31" s="505"/>
      <c r="BQ31" s="505"/>
      <c r="BR31" s="598"/>
      <c r="BS31" s="504" t="s">
        <v>165</v>
      </c>
      <c r="BT31" s="505"/>
      <c r="BU31" s="505"/>
      <c r="BV31" s="505"/>
      <c r="BW31" s="505"/>
      <c r="BX31" s="505"/>
      <c r="BY31" s="505"/>
      <c r="BZ31" s="598"/>
      <c r="CA31" s="504" t="s">
        <v>166</v>
      </c>
      <c r="CB31" s="505"/>
      <c r="CC31" s="505"/>
      <c r="CD31" s="505"/>
      <c r="CE31" s="505"/>
      <c r="CF31" s="505"/>
      <c r="CG31" s="505"/>
      <c r="CH31" s="598"/>
      <c r="CI31" s="505" t="s">
        <v>167</v>
      </c>
      <c r="CJ31" s="505"/>
      <c r="CK31" s="505"/>
      <c r="CL31" s="505"/>
      <c r="CM31" s="505"/>
      <c r="CN31" s="505"/>
      <c r="CO31" s="505"/>
      <c r="CP31" s="506"/>
    </row>
    <row r="32" spans="2:94" x14ac:dyDescent="0.25">
      <c r="B32" s="682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32"/>
      <c r="O32" s="510"/>
      <c r="P32" s="511"/>
      <c r="Q32" s="511"/>
      <c r="R32" s="511"/>
      <c r="S32" s="511"/>
      <c r="T32" s="511"/>
      <c r="U32" s="511"/>
      <c r="V32" s="532"/>
      <c r="W32" s="510"/>
      <c r="X32" s="511"/>
      <c r="Y32" s="511"/>
      <c r="Z32" s="511"/>
      <c r="AA32" s="511"/>
      <c r="AB32" s="511"/>
      <c r="AC32" s="511"/>
      <c r="AD32" s="532"/>
      <c r="AE32" s="510"/>
      <c r="AF32" s="511"/>
      <c r="AG32" s="511"/>
      <c r="AH32" s="511"/>
      <c r="AI32" s="511"/>
      <c r="AJ32" s="511"/>
      <c r="AK32" s="511"/>
      <c r="AL32" s="532"/>
      <c r="AM32" s="510"/>
      <c r="AN32" s="511"/>
      <c r="AO32" s="511"/>
      <c r="AP32" s="511"/>
      <c r="AQ32" s="511"/>
      <c r="AR32" s="511"/>
      <c r="AS32" s="511"/>
      <c r="AT32" s="532"/>
      <c r="AU32" s="510"/>
      <c r="AV32" s="511"/>
      <c r="AW32" s="511"/>
      <c r="AX32" s="511"/>
      <c r="AY32" s="511"/>
      <c r="AZ32" s="511"/>
      <c r="BA32" s="511"/>
      <c r="BB32" s="532"/>
      <c r="BC32" s="510"/>
      <c r="BD32" s="511"/>
      <c r="BE32" s="511"/>
      <c r="BF32" s="511"/>
      <c r="BG32" s="511"/>
      <c r="BH32" s="511"/>
      <c r="BI32" s="511"/>
      <c r="BJ32" s="532"/>
      <c r="BK32" s="510"/>
      <c r="BL32" s="511"/>
      <c r="BM32" s="511"/>
      <c r="BN32" s="511"/>
      <c r="BO32" s="511"/>
      <c r="BP32" s="511"/>
      <c r="BQ32" s="511"/>
      <c r="BR32" s="532"/>
      <c r="BS32" s="510"/>
      <c r="BT32" s="511"/>
      <c r="BU32" s="511"/>
      <c r="BV32" s="511"/>
      <c r="BW32" s="511"/>
      <c r="BX32" s="511"/>
      <c r="BY32" s="511"/>
      <c r="BZ32" s="532"/>
      <c r="CA32" s="510"/>
      <c r="CB32" s="511"/>
      <c r="CC32" s="511"/>
      <c r="CD32" s="511"/>
      <c r="CE32" s="511"/>
      <c r="CF32" s="511"/>
      <c r="CG32" s="511"/>
      <c r="CH32" s="532"/>
      <c r="CI32" s="511"/>
      <c r="CJ32" s="511"/>
      <c r="CK32" s="511"/>
      <c r="CL32" s="511"/>
      <c r="CM32" s="511"/>
      <c r="CN32" s="511"/>
      <c r="CO32" s="511"/>
      <c r="CP32" s="512"/>
    </row>
    <row r="33" spans="2:94" x14ac:dyDescent="0.25">
      <c r="B33" s="502" t="s">
        <v>138</v>
      </c>
      <c r="C33" s="515"/>
      <c r="D33" s="515"/>
      <c r="E33" s="534" t="s">
        <v>129</v>
      </c>
      <c r="F33" s="515"/>
      <c r="G33" s="515"/>
      <c r="H33" s="515" t="s">
        <v>126</v>
      </c>
      <c r="I33" s="515" t="s">
        <v>139</v>
      </c>
      <c r="J33" s="515" t="s">
        <v>128</v>
      </c>
      <c r="K33" s="515" t="s">
        <v>131</v>
      </c>
      <c r="L33" s="515"/>
      <c r="M33" s="515"/>
      <c r="N33" s="515"/>
      <c r="O33" s="589" t="s">
        <v>133</v>
      </c>
      <c r="P33" s="589"/>
      <c r="Q33" s="589" t="s">
        <v>132</v>
      </c>
      <c r="R33" s="589"/>
      <c r="S33" s="589" t="s">
        <v>154</v>
      </c>
      <c r="T33" s="589"/>
      <c r="U33" s="589" t="s">
        <v>134</v>
      </c>
      <c r="V33" s="589"/>
      <c r="W33" s="589" t="s">
        <v>133</v>
      </c>
      <c r="X33" s="589"/>
      <c r="Y33" s="589" t="s">
        <v>132</v>
      </c>
      <c r="Z33" s="589"/>
      <c r="AA33" s="589" t="s">
        <v>154</v>
      </c>
      <c r="AB33" s="589"/>
      <c r="AC33" s="589" t="s">
        <v>134</v>
      </c>
      <c r="AD33" s="589"/>
      <c r="AE33" s="589" t="s">
        <v>133</v>
      </c>
      <c r="AF33" s="589"/>
      <c r="AG33" s="589" t="s">
        <v>132</v>
      </c>
      <c r="AH33" s="589"/>
      <c r="AI33" s="589" t="s">
        <v>154</v>
      </c>
      <c r="AJ33" s="589"/>
      <c r="AK33" s="589" t="s">
        <v>134</v>
      </c>
      <c r="AL33" s="589"/>
      <c r="AM33" s="589" t="s">
        <v>133</v>
      </c>
      <c r="AN33" s="589"/>
      <c r="AO33" s="589" t="s">
        <v>132</v>
      </c>
      <c r="AP33" s="589"/>
      <c r="AQ33" s="589" t="s">
        <v>154</v>
      </c>
      <c r="AR33" s="589"/>
      <c r="AS33" s="589" t="s">
        <v>134</v>
      </c>
      <c r="AT33" s="589"/>
      <c r="AU33" s="589" t="s">
        <v>133</v>
      </c>
      <c r="AV33" s="589"/>
      <c r="AW33" s="589" t="s">
        <v>132</v>
      </c>
      <c r="AX33" s="589"/>
      <c r="AY33" s="589" t="s">
        <v>154</v>
      </c>
      <c r="AZ33" s="589"/>
      <c r="BA33" s="589" t="s">
        <v>134</v>
      </c>
      <c r="BB33" s="589"/>
      <c r="BC33" s="589" t="s">
        <v>133</v>
      </c>
      <c r="BD33" s="589"/>
      <c r="BE33" s="589" t="s">
        <v>132</v>
      </c>
      <c r="BF33" s="589"/>
      <c r="BG33" s="589" t="s">
        <v>154</v>
      </c>
      <c r="BH33" s="589"/>
      <c r="BI33" s="589" t="s">
        <v>134</v>
      </c>
      <c r="BJ33" s="589"/>
      <c r="BK33" s="589" t="s">
        <v>133</v>
      </c>
      <c r="BL33" s="589"/>
      <c r="BM33" s="589" t="s">
        <v>132</v>
      </c>
      <c r="BN33" s="589"/>
      <c r="BO33" s="589" t="s">
        <v>154</v>
      </c>
      <c r="BP33" s="589"/>
      <c r="BQ33" s="589" t="s">
        <v>134</v>
      </c>
      <c r="BR33" s="589"/>
      <c r="BS33" s="589" t="s">
        <v>133</v>
      </c>
      <c r="BT33" s="589"/>
      <c r="BU33" s="589" t="s">
        <v>132</v>
      </c>
      <c r="BV33" s="589"/>
      <c r="BW33" s="589" t="s">
        <v>154</v>
      </c>
      <c r="BX33" s="589"/>
      <c r="BY33" s="589" t="s">
        <v>134</v>
      </c>
      <c r="BZ33" s="589"/>
      <c r="CA33" s="589" t="s">
        <v>133</v>
      </c>
      <c r="CB33" s="589"/>
      <c r="CC33" s="589" t="s">
        <v>132</v>
      </c>
      <c r="CD33" s="589"/>
      <c r="CE33" s="589" t="s">
        <v>154</v>
      </c>
      <c r="CF33" s="589"/>
      <c r="CG33" s="589" t="s">
        <v>134</v>
      </c>
      <c r="CH33" s="589"/>
      <c r="CI33" s="588" t="s">
        <v>133</v>
      </c>
      <c r="CJ33" s="589"/>
      <c r="CK33" s="589" t="s">
        <v>132</v>
      </c>
      <c r="CL33" s="589"/>
      <c r="CM33" s="589" t="s">
        <v>154</v>
      </c>
      <c r="CN33" s="589"/>
      <c r="CO33" s="589" t="s">
        <v>134</v>
      </c>
      <c r="CP33" s="590"/>
    </row>
    <row r="34" spans="2:94" x14ac:dyDescent="0.25">
      <c r="B34" s="502"/>
      <c r="C34" s="515"/>
      <c r="D34" s="515"/>
      <c r="E34" s="534"/>
      <c r="F34" s="515"/>
      <c r="G34" s="515"/>
      <c r="H34" s="515"/>
      <c r="I34" s="515"/>
      <c r="J34" s="515"/>
      <c r="K34" s="515"/>
      <c r="L34" s="515"/>
      <c r="M34" s="515"/>
      <c r="N34" s="515"/>
      <c r="O34" s="93" t="s">
        <v>136</v>
      </c>
      <c r="P34" s="93" t="s">
        <v>137</v>
      </c>
      <c r="Q34" s="93" t="s">
        <v>136</v>
      </c>
      <c r="R34" s="93" t="s">
        <v>137</v>
      </c>
      <c r="S34" s="93" t="s">
        <v>136</v>
      </c>
      <c r="T34" s="93" t="s">
        <v>137</v>
      </c>
      <c r="U34" s="93" t="s">
        <v>136</v>
      </c>
      <c r="V34" s="93" t="s">
        <v>137</v>
      </c>
      <c r="W34" s="93" t="s">
        <v>136</v>
      </c>
      <c r="X34" s="93" t="s">
        <v>137</v>
      </c>
      <c r="Y34" s="93" t="s">
        <v>136</v>
      </c>
      <c r="Z34" s="93" t="s">
        <v>137</v>
      </c>
      <c r="AA34" s="93" t="s">
        <v>136</v>
      </c>
      <c r="AB34" s="93" t="s">
        <v>137</v>
      </c>
      <c r="AC34" s="93" t="s">
        <v>136</v>
      </c>
      <c r="AD34" s="93" t="s">
        <v>137</v>
      </c>
      <c r="AE34" s="93" t="s">
        <v>136</v>
      </c>
      <c r="AF34" s="93" t="s">
        <v>137</v>
      </c>
      <c r="AG34" s="93" t="s">
        <v>136</v>
      </c>
      <c r="AH34" s="93" t="s">
        <v>137</v>
      </c>
      <c r="AI34" s="93" t="s">
        <v>136</v>
      </c>
      <c r="AJ34" s="93" t="s">
        <v>137</v>
      </c>
      <c r="AK34" s="93" t="s">
        <v>136</v>
      </c>
      <c r="AL34" s="93" t="s">
        <v>137</v>
      </c>
      <c r="AM34" s="93" t="s">
        <v>136</v>
      </c>
      <c r="AN34" s="93" t="s">
        <v>137</v>
      </c>
      <c r="AO34" s="93" t="s">
        <v>136</v>
      </c>
      <c r="AP34" s="93" t="s">
        <v>137</v>
      </c>
      <c r="AQ34" s="93" t="s">
        <v>136</v>
      </c>
      <c r="AR34" s="93" t="s">
        <v>137</v>
      </c>
      <c r="AS34" s="93" t="s">
        <v>136</v>
      </c>
      <c r="AT34" s="93" t="s">
        <v>137</v>
      </c>
      <c r="AU34" s="93" t="s">
        <v>136</v>
      </c>
      <c r="AV34" s="93" t="s">
        <v>137</v>
      </c>
      <c r="AW34" s="93" t="s">
        <v>136</v>
      </c>
      <c r="AX34" s="93" t="s">
        <v>137</v>
      </c>
      <c r="AY34" s="93" t="s">
        <v>136</v>
      </c>
      <c r="AZ34" s="93" t="s">
        <v>137</v>
      </c>
      <c r="BA34" s="93" t="s">
        <v>136</v>
      </c>
      <c r="BB34" s="93" t="s">
        <v>137</v>
      </c>
      <c r="BC34" s="93" t="s">
        <v>136</v>
      </c>
      <c r="BD34" s="93" t="s">
        <v>137</v>
      </c>
      <c r="BE34" s="93" t="s">
        <v>136</v>
      </c>
      <c r="BF34" s="93" t="s">
        <v>137</v>
      </c>
      <c r="BG34" s="93" t="s">
        <v>136</v>
      </c>
      <c r="BH34" s="93" t="s">
        <v>137</v>
      </c>
      <c r="BI34" s="93" t="s">
        <v>136</v>
      </c>
      <c r="BJ34" s="93" t="s">
        <v>137</v>
      </c>
      <c r="BK34" s="93" t="s">
        <v>136</v>
      </c>
      <c r="BL34" s="93" t="s">
        <v>137</v>
      </c>
      <c r="BM34" s="93" t="s">
        <v>136</v>
      </c>
      <c r="BN34" s="93" t="s">
        <v>137</v>
      </c>
      <c r="BO34" s="93" t="s">
        <v>136</v>
      </c>
      <c r="BP34" s="93" t="s">
        <v>137</v>
      </c>
      <c r="BQ34" s="93" t="s">
        <v>136</v>
      </c>
      <c r="BR34" s="93" t="s">
        <v>137</v>
      </c>
      <c r="BS34" s="93" t="s">
        <v>136</v>
      </c>
      <c r="BT34" s="93" t="s">
        <v>137</v>
      </c>
      <c r="BU34" s="93" t="s">
        <v>136</v>
      </c>
      <c r="BV34" s="93" t="s">
        <v>137</v>
      </c>
      <c r="BW34" s="93" t="s">
        <v>136</v>
      </c>
      <c r="BX34" s="93" t="s">
        <v>137</v>
      </c>
      <c r="BY34" s="93" t="s">
        <v>136</v>
      </c>
      <c r="BZ34" s="93" t="s">
        <v>137</v>
      </c>
      <c r="CA34" s="93" t="s">
        <v>136</v>
      </c>
      <c r="CB34" s="93" t="s">
        <v>137</v>
      </c>
      <c r="CC34" s="93" t="s">
        <v>136</v>
      </c>
      <c r="CD34" s="93" t="s">
        <v>137</v>
      </c>
      <c r="CE34" s="93" t="s">
        <v>136</v>
      </c>
      <c r="CF34" s="93" t="s">
        <v>137</v>
      </c>
      <c r="CG34" s="93" t="s">
        <v>136</v>
      </c>
      <c r="CH34" s="93" t="s">
        <v>137</v>
      </c>
      <c r="CI34" s="125" t="s">
        <v>136</v>
      </c>
      <c r="CJ34" s="93" t="s">
        <v>137</v>
      </c>
      <c r="CK34" s="93" t="s">
        <v>136</v>
      </c>
      <c r="CL34" s="93" t="s">
        <v>137</v>
      </c>
      <c r="CM34" s="93" t="s">
        <v>136</v>
      </c>
      <c r="CN34" s="93" t="s">
        <v>137</v>
      </c>
      <c r="CO34" s="93" t="s">
        <v>136</v>
      </c>
      <c r="CP34" s="94" t="s">
        <v>137</v>
      </c>
    </row>
    <row r="35" spans="2:94" ht="17.25" x14ac:dyDescent="0.25">
      <c r="B35" s="603" t="s">
        <v>45</v>
      </c>
      <c r="C35" s="604"/>
      <c r="D35" s="605"/>
      <c r="E35" s="606" t="s">
        <v>143</v>
      </c>
      <c r="F35" s="607"/>
      <c r="G35" s="607"/>
      <c r="H35" s="29" t="s">
        <v>146</v>
      </c>
      <c r="I35" s="29" t="s">
        <v>141</v>
      </c>
      <c r="J35" s="29">
        <v>200</v>
      </c>
      <c r="K35" s="608" t="s">
        <v>148</v>
      </c>
      <c r="L35" s="608"/>
      <c r="M35" s="608"/>
      <c r="N35" s="608"/>
      <c r="O35" s="592" t="e">
        <f>-'Toma de datos'!G223/(273.15+'Toma de datos'!$L$214)</f>
        <v>#DIV/0!</v>
      </c>
      <c r="P35" s="592" t="s">
        <v>306</v>
      </c>
      <c r="Q35" s="104">
        <f t="array" ref="Q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R35" s="92" t="s">
        <v>16</v>
      </c>
      <c r="S35" s="43" t="e">
        <f>Q35*O35</f>
        <v>#DIV/0!</v>
      </c>
      <c r="T35" s="92" t="s">
        <v>291</v>
      </c>
      <c r="U35" s="105" t="e">
        <f>S35*S35</f>
        <v>#DIV/0!</v>
      </c>
      <c r="V35" s="92" t="s">
        <v>308</v>
      </c>
      <c r="W35" s="592" t="e">
        <f>-'Toma de datos'!G224/(273.15+'Toma de datos'!$L$214)</f>
        <v>#DIV/0!</v>
      </c>
      <c r="X35" s="592" t="s">
        <v>306</v>
      </c>
      <c r="Y35" s="104">
        <f t="array" ref="Y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Z35" s="92" t="s">
        <v>16</v>
      </c>
      <c r="AA35" s="43" t="e">
        <f>Y35*W35</f>
        <v>#DIV/0!</v>
      </c>
      <c r="AB35" s="92" t="s">
        <v>291</v>
      </c>
      <c r="AC35" s="105" t="e">
        <f>AA35*AA35</f>
        <v>#DIV/0!</v>
      </c>
      <c r="AD35" s="92" t="s">
        <v>308</v>
      </c>
      <c r="AE35" s="592" t="e">
        <f>-'Toma de datos'!G225/(273.15+'Toma de datos'!$L$214)</f>
        <v>#DIV/0!</v>
      </c>
      <c r="AF35" s="592" t="s">
        <v>306</v>
      </c>
      <c r="AG35" s="104">
        <f t="array" ref="AG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AH35" s="92" t="s">
        <v>16</v>
      </c>
      <c r="AI35" s="43" t="e">
        <f>AG35*AE35</f>
        <v>#DIV/0!</v>
      </c>
      <c r="AJ35" s="92" t="s">
        <v>291</v>
      </c>
      <c r="AK35" s="105" t="e">
        <f>AI35*AI35</f>
        <v>#DIV/0!</v>
      </c>
      <c r="AL35" s="92" t="s">
        <v>308</v>
      </c>
      <c r="AM35" s="592" t="e">
        <f>-'Toma de datos'!G226/(273.15+'Toma de datos'!$L$214)</f>
        <v>#DIV/0!</v>
      </c>
      <c r="AN35" s="592" t="s">
        <v>306</v>
      </c>
      <c r="AO35" s="104">
        <f t="array" ref="AO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AP35" s="92" t="s">
        <v>16</v>
      </c>
      <c r="AQ35" s="43" t="e">
        <f>AO35*AM35</f>
        <v>#DIV/0!</v>
      </c>
      <c r="AR35" s="92" t="s">
        <v>291</v>
      </c>
      <c r="AS35" s="105" t="e">
        <f>AQ35*AQ35</f>
        <v>#DIV/0!</v>
      </c>
      <c r="AT35" s="92" t="s">
        <v>308</v>
      </c>
      <c r="AU35" s="592" t="e">
        <f>-'Toma de datos'!G227/(273.15+'Toma de datos'!$L$214)</f>
        <v>#DIV/0!</v>
      </c>
      <c r="AV35" s="592" t="s">
        <v>306</v>
      </c>
      <c r="AW35" s="104">
        <f t="array" ref="AW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AX35" s="92" t="s">
        <v>16</v>
      </c>
      <c r="AY35" s="43" t="e">
        <f>AW35*AU35</f>
        <v>#DIV/0!</v>
      </c>
      <c r="AZ35" s="92" t="s">
        <v>291</v>
      </c>
      <c r="BA35" s="105" t="e">
        <f>AY35*AY35</f>
        <v>#DIV/0!</v>
      </c>
      <c r="BB35" s="92" t="s">
        <v>308</v>
      </c>
      <c r="BC35" s="592" t="e">
        <f>-'Toma de datos'!K223/(273.15+'Toma de datos'!$L$214)</f>
        <v>#DIV/0!</v>
      </c>
      <c r="BD35" s="592" t="s">
        <v>306</v>
      </c>
      <c r="BE35" s="104">
        <f t="array" ref="BE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BF35" s="92" t="s">
        <v>16</v>
      </c>
      <c r="BG35" s="43" t="e">
        <f>BE35*BC35</f>
        <v>#DIV/0!</v>
      </c>
      <c r="BH35" s="92" t="s">
        <v>291</v>
      </c>
      <c r="BI35" s="105" t="e">
        <f>BG35*BG35</f>
        <v>#DIV/0!</v>
      </c>
      <c r="BJ35" s="92" t="s">
        <v>308</v>
      </c>
      <c r="BK35" s="592" t="e">
        <f>-'Toma de datos'!K224/(273.15+'Toma de datos'!$L$214)</f>
        <v>#DIV/0!</v>
      </c>
      <c r="BL35" s="592" t="s">
        <v>306</v>
      </c>
      <c r="BM35" s="104">
        <f t="array" ref="BM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BN35" s="92" t="s">
        <v>16</v>
      </c>
      <c r="BO35" s="43" t="e">
        <f>BM35*BK35</f>
        <v>#DIV/0!</v>
      </c>
      <c r="BP35" s="92" t="s">
        <v>291</v>
      </c>
      <c r="BQ35" s="105" t="e">
        <f>BO35*BO35</f>
        <v>#DIV/0!</v>
      </c>
      <c r="BR35" s="92" t="s">
        <v>308</v>
      </c>
      <c r="BS35" s="592" t="e">
        <f>-'Toma de datos'!K225/(273.15+'Toma de datos'!$L$214)</f>
        <v>#DIV/0!</v>
      </c>
      <c r="BT35" s="592" t="s">
        <v>306</v>
      </c>
      <c r="BU35" s="104">
        <f t="array" ref="BU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BV35" s="92" t="s">
        <v>16</v>
      </c>
      <c r="BW35" s="43" t="e">
        <f>BU35*BS35</f>
        <v>#DIV/0!</v>
      </c>
      <c r="BX35" s="92" t="s">
        <v>291</v>
      </c>
      <c r="BY35" s="105" t="e">
        <f>BW35*BW35</f>
        <v>#DIV/0!</v>
      </c>
      <c r="BZ35" s="92" t="s">
        <v>308</v>
      </c>
      <c r="CA35" s="592" t="e">
        <f>-'Toma de datos'!K226/(273.15+'Toma de datos'!$L$214)</f>
        <v>#DIV/0!</v>
      </c>
      <c r="CB35" s="592" t="s">
        <v>306</v>
      </c>
      <c r="CC35" s="104">
        <f t="array" ref="CC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CD35" s="92" t="s">
        <v>16</v>
      </c>
      <c r="CE35" s="43" t="e">
        <f>CC35*CA35</f>
        <v>#DIV/0!</v>
      </c>
      <c r="CF35" s="92" t="s">
        <v>291</v>
      </c>
      <c r="CG35" s="105" t="e">
        <f>CE35*CE35</f>
        <v>#DIV/0!</v>
      </c>
      <c r="CH35" s="92" t="s">
        <v>308</v>
      </c>
      <c r="CI35" s="592" t="e">
        <f>-'Toma de datos'!K227/(273.15+'Toma de datos'!$L$214)</f>
        <v>#DIV/0!</v>
      </c>
      <c r="CJ35" s="592" t="s">
        <v>306</v>
      </c>
      <c r="CK35" s="104">
        <f t="array" ref="CK35">IF('Información general'!H60='Equipamiento y listas'!A14,MAX(IF(Corrección!F414:F417&lt;&gt;0,Corrección!E414:E417/Corrección!F414:F417)))+IF('Información general'!H60='Equipamiento y listas'!A15,MAX(IF(Corrección!F460:F462&lt;&gt;0,Corrección!E460:E462/Corrección!F460:F462)))+IF('Información general'!H60='Equipamiento y listas'!A16,MAX(IF(Corrección!F505:F507&lt;&gt;0,Corrección!E505:E507/Corrección!F505:F507)))+IF('Información general'!H60='Equipamiento y listas'!A17,MAX(IF(Corrección!F550:F552&lt;&gt;0,Corrección!E550:E552/Corrección!F550:F552)))</f>
        <v>0</v>
      </c>
      <c r="CL35" s="92" t="s">
        <v>16</v>
      </c>
      <c r="CM35" s="43" t="e">
        <f>CK35*CI35</f>
        <v>#DIV/0!</v>
      </c>
      <c r="CN35" s="92" t="s">
        <v>291</v>
      </c>
      <c r="CO35" s="105" t="e">
        <f>CM35*CM35</f>
        <v>#DIV/0!</v>
      </c>
      <c r="CP35" s="92" t="s">
        <v>308</v>
      </c>
    </row>
    <row r="36" spans="2:94" ht="17.25" x14ac:dyDescent="0.25">
      <c r="B36" s="603"/>
      <c r="C36" s="604"/>
      <c r="D36" s="605"/>
      <c r="E36" s="609" t="s">
        <v>296</v>
      </c>
      <c r="F36" s="610"/>
      <c r="G36" s="610"/>
      <c r="H36" s="1" t="s">
        <v>140</v>
      </c>
      <c r="I36" s="1" t="s">
        <v>141</v>
      </c>
      <c r="J36" s="1">
        <v>50</v>
      </c>
      <c r="K36" s="611" t="s">
        <v>142</v>
      </c>
      <c r="L36" s="611"/>
      <c r="M36" s="611"/>
      <c r="N36" s="611"/>
      <c r="O36" s="600"/>
      <c r="P36" s="600"/>
      <c r="Q36" s="57" t="e">
        <f>'Información general'!$H$61/SQRT(12)</f>
        <v>#N/A</v>
      </c>
      <c r="R36" s="3" t="s">
        <v>16</v>
      </c>
      <c r="S36" s="16" t="e">
        <f>Q36*O35</f>
        <v>#N/A</v>
      </c>
      <c r="T36" s="3" t="s">
        <v>291</v>
      </c>
      <c r="U36" s="54" t="e">
        <f>S36*S36</f>
        <v>#N/A</v>
      </c>
      <c r="V36" s="3" t="s">
        <v>308</v>
      </c>
      <c r="W36" s="600"/>
      <c r="X36" s="600"/>
      <c r="Y36" s="57" t="e">
        <f>'Información general'!$H$61/SQRT(12)</f>
        <v>#N/A</v>
      </c>
      <c r="Z36" s="3" t="s">
        <v>16</v>
      </c>
      <c r="AA36" s="16" t="e">
        <f>Y36*W35</f>
        <v>#N/A</v>
      </c>
      <c r="AB36" s="3" t="s">
        <v>291</v>
      </c>
      <c r="AC36" s="54" t="e">
        <f>AA36*AA36</f>
        <v>#N/A</v>
      </c>
      <c r="AD36" s="3" t="s">
        <v>308</v>
      </c>
      <c r="AE36" s="600"/>
      <c r="AF36" s="600"/>
      <c r="AG36" s="57" t="e">
        <f>'Información general'!$H$61/SQRT(12)</f>
        <v>#N/A</v>
      </c>
      <c r="AH36" s="3" t="s">
        <v>16</v>
      </c>
      <c r="AI36" s="16" t="e">
        <f>AG36*AE35</f>
        <v>#N/A</v>
      </c>
      <c r="AJ36" s="3" t="s">
        <v>291</v>
      </c>
      <c r="AK36" s="54" t="e">
        <f>AI36*AI36</f>
        <v>#N/A</v>
      </c>
      <c r="AL36" s="3" t="s">
        <v>308</v>
      </c>
      <c r="AM36" s="600"/>
      <c r="AN36" s="600"/>
      <c r="AO36" s="57" t="e">
        <f>'Información general'!$H$61/SQRT(12)</f>
        <v>#N/A</v>
      </c>
      <c r="AP36" s="3" t="s">
        <v>16</v>
      </c>
      <c r="AQ36" s="16" t="e">
        <f>AO36*AM35</f>
        <v>#N/A</v>
      </c>
      <c r="AR36" s="3" t="s">
        <v>291</v>
      </c>
      <c r="AS36" s="54" t="e">
        <f>AQ36*AQ36</f>
        <v>#N/A</v>
      </c>
      <c r="AT36" s="3" t="s">
        <v>308</v>
      </c>
      <c r="AU36" s="600"/>
      <c r="AV36" s="600"/>
      <c r="AW36" s="57" t="e">
        <f>'Información general'!$H$61/SQRT(12)</f>
        <v>#N/A</v>
      </c>
      <c r="AX36" s="3" t="s">
        <v>16</v>
      </c>
      <c r="AY36" s="16" t="e">
        <f>AW36*AU35</f>
        <v>#N/A</v>
      </c>
      <c r="AZ36" s="3" t="s">
        <v>291</v>
      </c>
      <c r="BA36" s="54" t="e">
        <f>AY36*AY36</f>
        <v>#N/A</v>
      </c>
      <c r="BB36" s="3" t="s">
        <v>308</v>
      </c>
      <c r="BC36" s="600"/>
      <c r="BD36" s="600"/>
      <c r="BE36" s="57" t="e">
        <f>'Información general'!$H$61/SQRT(12)</f>
        <v>#N/A</v>
      </c>
      <c r="BF36" s="3" t="s">
        <v>16</v>
      </c>
      <c r="BG36" s="16" t="e">
        <f>BE36*BC35</f>
        <v>#N/A</v>
      </c>
      <c r="BH36" s="3" t="s">
        <v>291</v>
      </c>
      <c r="BI36" s="54" t="e">
        <f>BG36*BG36</f>
        <v>#N/A</v>
      </c>
      <c r="BJ36" s="3" t="s">
        <v>308</v>
      </c>
      <c r="BK36" s="600"/>
      <c r="BL36" s="600"/>
      <c r="BM36" s="57" t="e">
        <f>'Información general'!$H$61/SQRT(12)</f>
        <v>#N/A</v>
      </c>
      <c r="BN36" s="3" t="s">
        <v>16</v>
      </c>
      <c r="BO36" s="16" t="e">
        <f>BM36*BK35</f>
        <v>#N/A</v>
      </c>
      <c r="BP36" s="3" t="s">
        <v>291</v>
      </c>
      <c r="BQ36" s="54" t="e">
        <f>BO36*BO36</f>
        <v>#N/A</v>
      </c>
      <c r="BR36" s="3" t="s">
        <v>308</v>
      </c>
      <c r="BS36" s="600"/>
      <c r="BT36" s="600"/>
      <c r="BU36" s="57" t="e">
        <f>'Información general'!$H$61/SQRT(12)</f>
        <v>#N/A</v>
      </c>
      <c r="BV36" s="3" t="s">
        <v>16</v>
      </c>
      <c r="BW36" s="16" t="e">
        <f>BU36*BS35</f>
        <v>#N/A</v>
      </c>
      <c r="BX36" s="3" t="s">
        <v>291</v>
      </c>
      <c r="BY36" s="54" t="e">
        <f>BW36*BW36</f>
        <v>#N/A</v>
      </c>
      <c r="BZ36" s="3" t="s">
        <v>308</v>
      </c>
      <c r="CA36" s="600"/>
      <c r="CB36" s="600"/>
      <c r="CC36" s="57" t="e">
        <f>'Información general'!$H$61/SQRT(12)</f>
        <v>#N/A</v>
      </c>
      <c r="CD36" s="3" t="s">
        <v>16</v>
      </c>
      <c r="CE36" s="16" t="e">
        <f>CC36*CA35</f>
        <v>#N/A</v>
      </c>
      <c r="CF36" s="3" t="s">
        <v>291</v>
      </c>
      <c r="CG36" s="54" t="e">
        <f>CE36*CE36</f>
        <v>#N/A</v>
      </c>
      <c r="CH36" s="3" t="s">
        <v>308</v>
      </c>
      <c r="CI36" s="600"/>
      <c r="CJ36" s="600"/>
      <c r="CK36" s="57" t="e">
        <f>'Información general'!$H$61/SQRT(12)</f>
        <v>#N/A</v>
      </c>
      <c r="CL36" s="3" t="s">
        <v>16</v>
      </c>
      <c r="CM36" s="16" t="e">
        <f>CK36*CI35</f>
        <v>#N/A</v>
      </c>
      <c r="CN36" s="3" t="s">
        <v>291</v>
      </c>
      <c r="CO36" s="54" t="e">
        <f>CM36*CM36</f>
        <v>#N/A</v>
      </c>
      <c r="CP36" s="3" t="s">
        <v>308</v>
      </c>
    </row>
    <row r="37" spans="2:94" ht="17.25" x14ac:dyDescent="0.25">
      <c r="B37" s="603"/>
      <c r="C37" s="604"/>
      <c r="D37" s="605"/>
      <c r="E37" s="609" t="s">
        <v>145</v>
      </c>
      <c r="F37" s="610"/>
      <c r="G37" s="610"/>
      <c r="H37" s="1" t="s">
        <v>140</v>
      </c>
      <c r="I37" s="1" t="s">
        <v>141</v>
      </c>
      <c r="J37" s="1" t="b">
        <f>IF('Información general'!H60='Equipamiento y listas'!A14,COUNT(Corrección!C414:C417)-2,IF('Información general'!H60='Equipamiento y listas'!A15,COUNT(Corrección!C460:C462)-2,IF('Información general'!H60='Equipamiento y listas'!A16,COUNT(Corrección!C505:C507)-2,IF('Información general'!H60='Equipamiento y listas'!A17,COUNT(Corrección!C550:C552)-2))))</f>
        <v>0</v>
      </c>
      <c r="K37" s="611" t="s">
        <v>149</v>
      </c>
      <c r="L37" s="611"/>
      <c r="M37" s="611"/>
      <c r="N37" s="611"/>
      <c r="O37" s="600"/>
      <c r="P37" s="600"/>
      <c r="Q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R37" s="3" t="s">
        <v>16</v>
      </c>
      <c r="S37" s="16" t="e">
        <f>Q37*O35</f>
        <v>#DIV/0!</v>
      </c>
      <c r="T37" s="3" t="s">
        <v>291</v>
      </c>
      <c r="U37" s="54" t="e">
        <f>S37*S37</f>
        <v>#DIV/0!</v>
      </c>
      <c r="V37" s="3" t="s">
        <v>308</v>
      </c>
      <c r="W37" s="600"/>
      <c r="X37" s="600"/>
      <c r="Y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Z37" s="3" t="s">
        <v>16</v>
      </c>
      <c r="AA37" s="16" t="e">
        <f>Y37*W35</f>
        <v>#DIV/0!</v>
      </c>
      <c r="AB37" s="3" t="s">
        <v>291</v>
      </c>
      <c r="AC37" s="54" t="e">
        <f>AA37*AA37</f>
        <v>#DIV/0!</v>
      </c>
      <c r="AD37" s="3" t="s">
        <v>308</v>
      </c>
      <c r="AE37" s="600"/>
      <c r="AF37" s="600"/>
      <c r="AG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AH37" s="3" t="s">
        <v>16</v>
      </c>
      <c r="AI37" s="16" t="e">
        <f>AG37*AE35</f>
        <v>#DIV/0!</v>
      </c>
      <c r="AJ37" s="3" t="s">
        <v>291</v>
      </c>
      <c r="AK37" s="54" t="e">
        <f>AI37*AI37</f>
        <v>#DIV/0!</v>
      </c>
      <c r="AL37" s="3" t="s">
        <v>308</v>
      </c>
      <c r="AM37" s="600"/>
      <c r="AN37" s="600"/>
      <c r="AO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AP37" s="3" t="s">
        <v>16</v>
      </c>
      <c r="AQ37" s="16" t="e">
        <f>AO37*AM35</f>
        <v>#DIV/0!</v>
      </c>
      <c r="AR37" s="3" t="s">
        <v>291</v>
      </c>
      <c r="AS37" s="54" t="e">
        <f>AQ37*AQ37</f>
        <v>#DIV/0!</v>
      </c>
      <c r="AT37" s="3" t="s">
        <v>308</v>
      </c>
      <c r="AU37" s="600"/>
      <c r="AV37" s="600"/>
      <c r="AW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AX37" s="3" t="s">
        <v>16</v>
      </c>
      <c r="AY37" s="16" t="e">
        <f>AW37*AU35</f>
        <v>#DIV/0!</v>
      </c>
      <c r="AZ37" s="3" t="s">
        <v>291</v>
      </c>
      <c r="BA37" s="54" t="e">
        <f>AY37*AY37</f>
        <v>#DIV/0!</v>
      </c>
      <c r="BB37" s="3" t="s">
        <v>308</v>
      </c>
      <c r="BC37" s="600"/>
      <c r="BD37" s="600"/>
      <c r="BE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BF37" s="3" t="s">
        <v>16</v>
      </c>
      <c r="BG37" s="16" t="e">
        <f>BE37*BC35</f>
        <v>#DIV/0!</v>
      </c>
      <c r="BH37" s="3" t="s">
        <v>291</v>
      </c>
      <c r="BI37" s="54" t="e">
        <f>BG37*BG37</f>
        <v>#DIV/0!</v>
      </c>
      <c r="BJ37" s="3" t="s">
        <v>308</v>
      </c>
      <c r="BK37" s="600"/>
      <c r="BL37" s="600"/>
      <c r="BM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BN37" s="3" t="s">
        <v>16</v>
      </c>
      <c r="BO37" s="16" t="e">
        <f>BM37*BK35</f>
        <v>#DIV/0!</v>
      </c>
      <c r="BP37" s="3" t="s">
        <v>291</v>
      </c>
      <c r="BQ37" s="54" t="e">
        <f>BO37*BO37</f>
        <v>#DIV/0!</v>
      </c>
      <c r="BR37" s="3" t="s">
        <v>308</v>
      </c>
      <c r="BS37" s="600"/>
      <c r="BT37" s="600"/>
      <c r="BU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BV37" s="3" t="s">
        <v>16</v>
      </c>
      <c r="BW37" s="16" t="e">
        <f>BU37*BS35</f>
        <v>#DIV/0!</v>
      </c>
      <c r="BX37" s="3" t="s">
        <v>291</v>
      </c>
      <c r="BY37" s="54" t="e">
        <f>BW37*BW37</f>
        <v>#DIV/0!</v>
      </c>
      <c r="BZ37" s="3" t="s">
        <v>308</v>
      </c>
      <c r="CA37" s="600"/>
      <c r="CB37" s="600"/>
      <c r="CC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CD37" s="3" t="s">
        <v>16</v>
      </c>
      <c r="CE37" s="16" t="e">
        <f>CC37*CA35</f>
        <v>#DIV/0!</v>
      </c>
      <c r="CF37" s="3" t="s">
        <v>291</v>
      </c>
      <c r="CG37" s="54" t="e">
        <f>CE37*CE37</f>
        <v>#DIV/0!</v>
      </c>
      <c r="CH37" s="3" t="s">
        <v>308</v>
      </c>
      <c r="CI37" s="600"/>
      <c r="CJ37" s="600"/>
      <c r="CK37" s="57" t="b">
        <f>IF('Información general'!H60='Equipamiento y listas'!A14,Corrección!F421,IF('Información general'!H60='Equipamiento y listas'!A15,Corrección!F466,IF('Información general'!H60='Equipamiento y listas'!A16,Corrección!F511,IF('Información general'!H60='Equipamiento y listas'!A17,Corrección!F556))))</f>
        <v>0</v>
      </c>
      <c r="CL37" s="3" t="s">
        <v>16</v>
      </c>
      <c r="CM37" s="16" t="e">
        <f>CK37*CI35</f>
        <v>#DIV/0!</v>
      </c>
      <c r="CN37" s="3" t="s">
        <v>291</v>
      </c>
      <c r="CO37" s="54" t="e">
        <f>CM37*CM37</f>
        <v>#DIV/0!</v>
      </c>
      <c r="CP37" s="3" t="s">
        <v>308</v>
      </c>
    </row>
    <row r="38" spans="2:94" ht="17.25" x14ac:dyDescent="0.25">
      <c r="B38" s="680" t="s">
        <v>447</v>
      </c>
      <c r="C38" s="584"/>
      <c r="D38" s="681"/>
      <c r="E38" s="609" t="s">
        <v>445</v>
      </c>
      <c r="F38" s="610"/>
      <c r="G38" s="610"/>
      <c r="H38" s="1" t="s">
        <v>140</v>
      </c>
      <c r="I38" s="1" t="s">
        <v>141</v>
      </c>
      <c r="J38" s="1">
        <v>50</v>
      </c>
      <c r="K38" s="611" t="s">
        <v>142</v>
      </c>
      <c r="L38" s="611"/>
      <c r="M38" s="611"/>
      <c r="N38" s="611"/>
      <c r="O38" s="53" t="e">
        <f>'Toma de datos'!G223/'Toma de datos'!C92</f>
        <v>#DIV/0!</v>
      </c>
      <c r="P38" s="53" t="s">
        <v>307</v>
      </c>
      <c r="Q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R38" s="3" t="s">
        <v>219</v>
      </c>
      <c r="S38" s="16" t="e">
        <f>Q38*O38</f>
        <v>#DIV/0!</v>
      </c>
      <c r="T38" s="3" t="s">
        <v>291</v>
      </c>
      <c r="U38" s="54" t="e">
        <f>S38*S38</f>
        <v>#DIV/0!</v>
      </c>
      <c r="V38" s="3" t="s">
        <v>308</v>
      </c>
      <c r="W38" s="53" t="e">
        <f>'Toma de datos'!G224/'Toma de datos'!C93</f>
        <v>#DIV/0!</v>
      </c>
      <c r="X38" s="53" t="s">
        <v>307</v>
      </c>
      <c r="Y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Z38" s="3" t="s">
        <v>219</v>
      </c>
      <c r="AA38" s="16" t="e">
        <f>Y38*W38</f>
        <v>#DIV/0!</v>
      </c>
      <c r="AB38" s="3" t="s">
        <v>291</v>
      </c>
      <c r="AC38" s="54" t="e">
        <f>AA38*AA38</f>
        <v>#DIV/0!</v>
      </c>
      <c r="AD38" s="3" t="s">
        <v>308</v>
      </c>
      <c r="AE38" s="53" t="e">
        <f>'Toma de datos'!G225/'Toma de datos'!C94</f>
        <v>#DIV/0!</v>
      </c>
      <c r="AF38" s="53" t="s">
        <v>307</v>
      </c>
      <c r="AG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AH38" s="3" t="s">
        <v>219</v>
      </c>
      <c r="AI38" s="16" t="e">
        <f>AG38*AE38</f>
        <v>#DIV/0!</v>
      </c>
      <c r="AJ38" s="3" t="s">
        <v>291</v>
      </c>
      <c r="AK38" s="54" t="e">
        <f>AI38*AI38</f>
        <v>#DIV/0!</v>
      </c>
      <c r="AL38" s="3" t="s">
        <v>308</v>
      </c>
      <c r="AM38" s="53" t="e">
        <f>'Toma de datos'!G226/'Toma de datos'!C95</f>
        <v>#DIV/0!</v>
      </c>
      <c r="AN38" s="53" t="s">
        <v>307</v>
      </c>
      <c r="AO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AP38" s="3" t="s">
        <v>219</v>
      </c>
      <c r="AQ38" s="16" t="e">
        <f>AO38*AM38</f>
        <v>#DIV/0!</v>
      </c>
      <c r="AR38" s="3" t="s">
        <v>291</v>
      </c>
      <c r="AS38" s="54" t="e">
        <f>AQ38*AQ38</f>
        <v>#DIV/0!</v>
      </c>
      <c r="AT38" s="3" t="s">
        <v>308</v>
      </c>
      <c r="AU38" s="53" t="e">
        <f>'Toma de datos'!G227/'Toma de datos'!C96</f>
        <v>#DIV/0!</v>
      </c>
      <c r="AV38" s="53" t="s">
        <v>307</v>
      </c>
      <c r="AW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AX38" s="3" t="s">
        <v>219</v>
      </c>
      <c r="AY38" s="16" t="e">
        <f>AW38*AU38</f>
        <v>#DIV/0!</v>
      </c>
      <c r="AZ38" s="3" t="s">
        <v>291</v>
      </c>
      <c r="BA38" s="54" t="e">
        <f>AY38*AY38</f>
        <v>#DIV/0!</v>
      </c>
      <c r="BB38" s="3" t="s">
        <v>308</v>
      </c>
      <c r="BC38" s="53" t="e">
        <f>'Toma de datos'!K223/'Toma de datos'!C97</f>
        <v>#DIV/0!</v>
      </c>
      <c r="BD38" s="53" t="s">
        <v>307</v>
      </c>
      <c r="BE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BF38" s="3" t="s">
        <v>219</v>
      </c>
      <c r="BG38" s="16" t="e">
        <f>BE38*BC38</f>
        <v>#DIV/0!</v>
      </c>
      <c r="BH38" s="3" t="s">
        <v>291</v>
      </c>
      <c r="BI38" s="54" t="e">
        <f>BG38*BG38</f>
        <v>#DIV/0!</v>
      </c>
      <c r="BJ38" s="3" t="s">
        <v>308</v>
      </c>
      <c r="BK38" s="53" t="e">
        <f>'Toma de datos'!K224/'Toma de datos'!C98</f>
        <v>#DIV/0!</v>
      </c>
      <c r="BL38" s="53" t="s">
        <v>307</v>
      </c>
      <c r="BM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BN38" s="3" t="s">
        <v>219</v>
      </c>
      <c r="BO38" s="16" t="e">
        <f>BM38*BK38</f>
        <v>#DIV/0!</v>
      </c>
      <c r="BP38" s="3" t="s">
        <v>291</v>
      </c>
      <c r="BQ38" s="54" t="e">
        <f>BO38*BO38</f>
        <v>#DIV/0!</v>
      </c>
      <c r="BR38" s="3" t="s">
        <v>308</v>
      </c>
      <c r="BS38" s="53" t="e">
        <f>'Toma de datos'!K225/'Toma de datos'!C99</f>
        <v>#DIV/0!</v>
      </c>
      <c r="BT38" s="53" t="s">
        <v>307</v>
      </c>
      <c r="BU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BV38" s="3" t="s">
        <v>219</v>
      </c>
      <c r="BW38" s="16" t="e">
        <f>BU38*BS38</f>
        <v>#DIV/0!</v>
      </c>
      <c r="BX38" s="3" t="s">
        <v>291</v>
      </c>
      <c r="BY38" s="54" t="e">
        <f>BW38*BW38</f>
        <v>#DIV/0!</v>
      </c>
      <c r="BZ38" s="3" t="s">
        <v>308</v>
      </c>
      <c r="CA38" s="53" t="e">
        <f>'Toma de datos'!K226/'Toma de datos'!C100</f>
        <v>#DIV/0!</v>
      </c>
      <c r="CB38" s="53" t="s">
        <v>307</v>
      </c>
      <c r="CC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CD38" s="3" t="s">
        <v>219</v>
      </c>
      <c r="CE38" s="16" t="e">
        <f>CC38*CA38</f>
        <v>#DIV/0!</v>
      </c>
      <c r="CF38" s="3" t="s">
        <v>291</v>
      </c>
      <c r="CG38" s="54" t="e">
        <f>CE38*CE38</f>
        <v>#DIV/0!</v>
      </c>
      <c r="CH38" s="3" t="s">
        <v>308</v>
      </c>
      <c r="CI38" s="53" t="e">
        <f>'Toma de datos'!K227/'Toma de datos'!C101</f>
        <v>#DIV/0!</v>
      </c>
      <c r="CJ38" s="53" t="s">
        <v>307</v>
      </c>
      <c r="CK38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CL38" s="3" t="s">
        <v>219</v>
      </c>
      <c r="CM38" s="16" t="e">
        <f>CK38*CI38</f>
        <v>#DIV/0!</v>
      </c>
      <c r="CN38" s="3" t="s">
        <v>291</v>
      </c>
      <c r="CO38" s="54" t="e">
        <f>CM38*CM38</f>
        <v>#DIV/0!</v>
      </c>
      <c r="CP38" s="3" t="s">
        <v>308</v>
      </c>
    </row>
    <row r="39" spans="2:94" ht="17.25" x14ac:dyDescent="0.25">
      <c r="O39" s="679" t="s">
        <v>155</v>
      </c>
      <c r="P39" s="594"/>
      <c r="Q39" s="594"/>
      <c r="R39" s="594"/>
      <c r="S39" s="595"/>
      <c r="T39" s="597" t="e">
        <f>SQRT(SUM(U35:U38))</f>
        <v>#DIV/0!</v>
      </c>
      <c r="U39" s="597"/>
      <c r="V39" s="119" t="s">
        <v>291</v>
      </c>
      <c r="W39" s="593" t="s">
        <v>155</v>
      </c>
      <c r="X39" s="594"/>
      <c r="Y39" s="594"/>
      <c r="Z39" s="594"/>
      <c r="AA39" s="602"/>
      <c r="AB39" s="597" t="e">
        <f>SQRT(SUM(AC35:AC38))</f>
        <v>#DIV/0!</v>
      </c>
      <c r="AC39" s="597"/>
      <c r="AD39" s="127" t="s">
        <v>291</v>
      </c>
      <c r="AE39" s="593" t="s">
        <v>155</v>
      </c>
      <c r="AF39" s="594"/>
      <c r="AG39" s="594"/>
      <c r="AH39" s="594"/>
      <c r="AI39" s="595"/>
      <c r="AJ39" s="597" t="e">
        <f>SQRT(SUM(AK35:AK38))</f>
        <v>#DIV/0!</v>
      </c>
      <c r="AK39" s="597"/>
      <c r="AL39" s="127" t="s">
        <v>291</v>
      </c>
      <c r="AM39" s="593" t="s">
        <v>155</v>
      </c>
      <c r="AN39" s="594"/>
      <c r="AO39" s="594"/>
      <c r="AP39" s="594"/>
      <c r="AQ39" s="595"/>
      <c r="AR39" s="597" t="e">
        <f>SQRT(SUM(AS35:AS38))</f>
        <v>#DIV/0!</v>
      </c>
      <c r="AS39" s="597"/>
      <c r="AT39" s="127" t="s">
        <v>291</v>
      </c>
      <c r="AU39" s="593" t="s">
        <v>155</v>
      </c>
      <c r="AV39" s="594"/>
      <c r="AW39" s="594"/>
      <c r="AX39" s="594"/>
      <c r="AY39" s="595"/>
      <c r="AZ39" s="597" t="e">
        <f>SQRT(SUM(BA35:BA38))</f>
        <v>#DIV/0!</v>
      </c>
      <c r="BA39" s="597"/>
      <c r="BB39" s="127" t="s">
        <v>291</v>
      </c>
      <c r="BC39" s="593" t="s">
        <v>155</v>
      </c>
      <c r="BD39" s="594"/>
      <c r="BE39" s="594"/>
      <c r="BF39" s="594"/>
      <c r="BG39" s="595"/>
      <c r="BH39" s="597" t="e">
        <f>SQRT(SUM(BI35:BI38))</f>
        <v>#DIV/0!</v>
      </c>
      <c r="BI39" s="597"/>
      <c r="BJ39" s="127" t="s">
        <v>291</v>
      </c>
      <c r="BK39" s="593" t="s">
        <v>155</v>
      </c>
      <c r="BL39" s="594"/>
      <c r="BM39" s="594"/>
      <c r="BN39" s="594"/>
      <c r="BO39" s="595"/>
      <c r="BP39" s="597" t="e">
        <f>SQRT(SUM(BQ35:BQ38))</f>
        <v>#DIV/0!</v>
      </c>
      <c r="BQ39" s="597"/>
      <c r="BR39" s="127" t="s">
        <v>291</v>
      </c>
      <c r="BS39" s="593" t="s">
        <v>155</v>
      </c>
      <c r="BT39" s="594"/>
      <c r="BU39" s="594"/>
      <c r="BV39" s="594"/>
      <c r="BW39" s="595"/>
      <c r="BX39" s="597" t="e">
        <f>SQRT(SUM(BY35:BY38))</f>
        <v>#DIV/0!</v>
      </c>
      <c r="BY39" s="597"/>
      <c r="BZ39" s="127" t="s">
        <v>291</v>
      </c>
      <c r="CA39" s="593" t="s">
        <v>155</v>
      </c>
      <c r="CB39" s="594"/>
      <c r="CC39" s="594"/>
      <c r="CD39" s="594"/>
      <c r="CE39" s="595"/>
      <c r="CF39" s="597" t="e">
        <f>SQRT(SUM(CG35:CG38))</f>
        <v>#DIV/0!</v>
      </c>
      <c r="CG39" s="597"/>
      <c r="CH39" s="127" t="s">
        <v>291</v>
      </c>
      <c r="CI39" s="594" t="s">
        <v>155</v>
      </c>
      <c r="CJ39" s="594"/>
      <c r="CK39" s="594"/>
      <c r="CL39" s="594"/>
      <c r="CM39" s="595"/>
      <c r="CN39" s="597" t="e">
        <f>SQRT(SUM(CO35:CO38))</f>
        <v>#DIV/0!</v>
      </c>
      <c r="CO39" s="597"/>
      <c r="CP39" s="120" t="s">
        <v>291</v>
      </c>
    </row>
    <row r="40" spans="2:94" x14ac:dyDescent="0.25">
      <c r="O40" s="678" t="s">
        <v>127</v>
      </c>
      <c r="P40" s="584"/>
      <c r="Q40" s="584"/>
      <c r="R40" s="584"/>
      <c r="S40" s="585"/>
      <c r="T40" s="599" t="e">
        <f>(T39^4)/SUMPRODUCT(U35:U38,U35:U38,1/$J$35:$J$38)</f>
        <v>#DIV/0!</v>
      </c>
      <c r="U40" s="587"/>
      <c r="V40" s="126"/>
      <c r="W40" s="583" t="s">
        <v>127</v>
      </c>
      <c r="X40" s="584"/>
      <c r="Y40" s="584"/>
      <c r="Z40" s="584"/>
      <c r="AA40" s="601"/>
      <c r="AB40" s="599" t="e">
        <f>(AB39^4)/SUMPRODUCT(AC35:AC38,AC35:AC38,1/$J$35:$J$38)</f>
        <v>#DIV/0!</v>
      </c>
      <c r="AC40" s="587"/>
      <c r="AD40" s="128"/>
      <c r="AE40" s="583" t="s">
        <v>127</v>
      </c>
      <c r="AF40" s="584"/>
      <c r="AG40" s="584"/>
      <c r="AH40" s="584"/>
      <c r="AI40" s="585"/>
      <c r="AJ40" s="599" t="e">
        <f>(AJ39^4)/SUMPRODUCT(AK35:AK38,AK35:AK38,1/$J$35:$J$38)</f>
        <v>#DIV/0!</v>
      </c>
      <c r="AK40" s="587"/>
      <c r="AL40" s="128"/>
      <c r="AM40" s="583" t="s">
        <v>127</v>
      </c>
      <c r="AN40" s="584"/>
      <c r="AO40" s="584"/>
      <c r="AP40" s="584"/>
      <c r="AQ40" s="585"/>
      <c r="AR40" s="599" t="e">
        <f>(AR39^4)/SUMPRODUCT(AS35:AS38,AS35:AS38,1/$J$35:$J$38)</f>
        <v>#DIV/0!</v>
      </c>
      <c r="AS40" s="587"/>
      <c r="AT40" s="128"/>
      <c r="AU40" s="583" t="s">
        <v>127</v>
      </c>
      <c r="AV40" s="584"/>
      <c r="AW40" s="584"/>
      <c r="AX40" s="584"/>
      <c r="AY40" s="585"/>
      <c r="AZ40" s="599" t="e">
        <f>(AZ39^4)/SUMPRODUCT(BA35:BA38,BA35:BA38,1/$J$35:$J$38)</f>
        <v>#DIV/0!</v>
      </c>
      <c r="BA40" s="587"/>
      <c r="BB40" s="128"/>
      <c r="BC40" s="583" t="s">
        <v>127</v>
      </c>
      <c r="BD40" s="584"/>
      <c r="BE40" s="584"/>
      <c r="BF40" s="584"/>
      <c r="BG40" s="585"/>
      <c r="BH40" s="599" t="e">
        <f>(BH39^4)/SUMPRODUCT(BI35:BI38,BI35:BI38,1/$J$35:$J$38)</f>
        <v>#DIV/0!</v>
      </c>
      <c r="BI40" s="587"/>
      <c r="BJ40" s="128"/>
      <c r="BK40" s="583" t="s">
        <v>127</v>
      </c>
      <c r="BL40" s="584"/>
      <c r="BM40" s="584"/>
      <c r="BN40" s="584"/>
      <c r="BO40" s="585"/>
      <c r="BP40" s="599" t="e">
        <f>(BP39^4)/SUMPRODUCT(BQ35:BQ38,BQ35:BQ38,1/$J$35:$J$38)</f>
        <v>#DIV/0!</v>
      </c>
      <c r="BQ40" s="587"/>
      <c r="BR40" s="128"/>
      <c r="BS40" s="583" t="s">
        <v>127</v>
      </c>
      <c r="BT40" s="584"/>
      <c r="BU40" s="584"/>
      <c r="BV40" s="584"/>
      <c r="BW40" s="585"/>
      <c r="BX40" s="599" t="e">
        <f>(BX39^4)/SUMPRODUCT(BY35:BY38,BY35:BY38,1/$J$35:$J$38)</f>
        <v>#DIV/0!</v>
      </c>
      <c r="BY40" s="587"/>
      <c r="BZ40" s="128"/>
      <c r="CA40" s="583" t="s">
        <v>127</v>
      </c>
      <c r="CB40" s="584"/>
      <c r="CC40" s="584"/>
      <c r="CD40" s="584"/>
      <c r="CE40" s="585"/>
      <c r="CF40" s="599" t="e">
        <f>(CF39^4)/SUMPRODUCT(CG35:CG38,CG35:CG38,1/$J$35:$J$38)</f>
        <v>#DIV/0!</v>
      </c>
      <c r="CG40" s="587"/>
      <c r="CH40" s="128"/>
      <c r="CI40" s="584" t="s">
        <v>127</v>
      </c>
      <c r="CJ40" s="584"/>
      <c r="CK40" s="584"/>
      <c r="CL40" s="584"/>
      <c r="CM40" s="585"/>
      <c r="CN40" s="599" t="e">
        <f>(CN39^4)/SUMPRODUCT(CO35:CO38,CO35:CO38,1/$J$35:$J$38)</f>
        <v>#DIV/0!</v>
      </c>
      <c r="CO40" s="587"/>
      <c r="CP40" s="103"/>
    </row>
    <row r="41" spans="2:94" ht="14.45" customHeight="1" x14ac:dyDescent="0.25"/>
    <row r="42" spans="2:94" ht="18" customHeight="1" x14ac:dyDescent="0.25">
      <c r="B42" s="660" t="s">
        <v>446</v>
      </c>
      <c r="C42" s="660"/>
      <c r="D42" s="660"/>
      <c r="E42" s="660"/>
      <c r="F42" s="660"/>
      <c r="G42" s="660"/>
    </row>
    <row r="43" spans="2:94" ht="18" customHeight="1" x14ac:dyDescent="0.25">
      <c r="B43" s="660"/>
      <c r="C43" s="660"/>
      <c r="D43" s="660"/>
      <c r="E43" s="660"/>
      <c r="F43" s="660"/>
      <c r="G43" s="660"/>
    </row>
    <row r="45" spans="2:94" ht="14.45" customHeight="1" x14ac:dyDescent="0.25">
      <c r="B45" s="537" t="s">
        <v>130</v>
      </c>
      <c r="C45" s="505"/>
      <c r="D45" s="505"/>
      <c r="E45" s="505"/>
      <c r="F45" s="505"/>
      <c r="G45" s="505"/>
      <c r="H45" s="505"/>
      <c r="I45" s="505"/>
      <c r="J45" s="505"/>
      <c r="K45" s="505"/>
      <c r="L45" s="505"/>
      <c r="M45" s="505"/>
      <c r="N45" s="598"/>
      <c r="O45" s="504" t="s">
        <v>135</v>
      </c>
      <c r="P45" s="505"/>
      <c r="Q45" s="505"/>
      <c r="R45" s="505"/>
      <c r="S45" s="505"/>
      <c r="T45" s="505"/>
      <c r="U45" s="505"/>
      <c r="V45" s="598"/>
      <c r="W45" s="504" t="s">
        <v>159</v>
      </c>
      <c r="X45" s="505"/>
      <c r="Y45" s="505"/>
      <c r="Z45" s="505"/>
      <c r="AA45" s="505"/>
      <c r="AB45" s="505"/>
      <c r="AC45" s="505"/>
      <c r="AD45" s="598"/>
      <c r="AE45" s="504" t="s">
        <v>160</v>
      </c>
      <c r="AF45" s="505"/>
      <c r="AG45" s="505"/>
      <c r="AH45" s="505"/>
      <c r="AI45" s="505"/>
      <c r="AJ45" s="505"/>
      <c r="AK45" s="505"/>
      <c r="AL45" s="598"/>
      <c r="AM45" s="504" t="s">
        <v>161</v>
      </c>
      <c r="AN45" s="505"/>
      <c r="AO45" s="505"/>
      <c r="AP45" s="505"/>
      <c r="AQ45" s="505"/>
      <c r="AR45" s="505"/>
      <c r="AS45" s="505"/>
      <c r="AT45" s="598"/>
      <c r="AU45" s="504" t="s">
        <v>162</v>
      </c>
      <c r="AV45" s="505"/>
      <c r="AW45" s="505"/>
      <c r="AX45" s="505"/>
      <c r="AY45" s="505"/>
      <c r="AZ45" s="505"/>
      <c r="BA45" s="505"/>
      <c r="BB45" s="598"/>
      <c r="BC45" s="504" t="s">
        <v>163</v>
      </c>
      <c r="BD45" s="505"/>
      <c r="BE45" s="505"/>
      <c r="BF45" s="505"/>
      <c r="BG45" s="505"/>
      <c r="BH45" s="505"/>
      <c r="BI45" s="505"/>
      <c r="BJ45" s="598"/>
      <c r="BK45" s="504" t="s">
        <v>164</v>
      </c>
      <c r="BL45" s="505"/>
      <c r="BM45" s="505"/>
      <c r="BN45" s="505"/>
      <c r="BO45" s="505"/>
      <c r="BP45" s="505"/>
      <c r="BQ45" s="505"/>
      <c r="BR45" s="598"/>
      <c r="BS45" s="504" t="s">
        <v>165</v>
      </c>
      <c r="BT45" s="505"/>
      <c r="BU45" s="505"/>
      <c r="BV45" s="505"/>
      <c r="BW45" s="505"/>
      <c r="BX45" s="505"/>
      <c r="BY45" s="505"/>
      <c r="BZ45" s="598"/>
      <c r="CA45" s="504" t="s">
        <v>166</v>
      </c>
      <c r="CB45" s="505"/>
      <c r="CC45" s="505"/>
      <c r="CD45" s="505"/>
      <c r="CE45" s="505"/>
      <c r="CF45" s="505"/>
      <c r="CG45" s="505"/>
      <c r="CH45" s="598"/>
      <c r="CI45" s="505" t="s">
        <v>167</v>
      </c>
      <c r="CJ45" s="505"/>
      <c r="CK45" s="505"/>
      <c r="CL45" s="505"/>
      <c r="CM45" s="505"/>
      <c r="CN45" s="505"/>
      <c r="CO45" s="505"/>
      <c r="CP45" s="506"/>
    </row>
    <row r="46" spans="2:94" x14ac:dyDescent="0.25">
      <c r="B46" s="682"/>
      <c r="C46" s="511"/>
      <c r="D46" s="511"/>
      <c r="E46" s="511"/>
      <c r="F46" s="511"/>
      <c r="G46" s="511"/>
      <c r="H46" s="511"/>
      <c r="I46" s="511"/>
      <c r="J46" s="511"/>
      <c r="K46" s="511"/>
      <c r="L46" s="511"/>
      <c r="M46" s="511"/>
      <c r="N46" s="532"/>
      <c r="O46" s="510"/>
      <c r="P46" s="511"/>
      <c r="Q46" s="511"/>
      <c r="R46" s="511"/>
      <c r="S46" s="511"/>
      <c r="T46" s="511"/>
      <c r="U46" s="511"/>
      <c r="V46" s="532"/>
      <c r="W46" s="510"/>
      <c r="X46" s="511"/>
      <c r="Y46" s="511"/>
      <c r="Z46" s="511"/>
      <c r="AA46" s="511"/>
      <c r="AB46" s="511"/>
      <c r="AC46" s="511"/>
      <c r="AD46" s="532"/>
      <c r="AE46" s="510"/>
      <c r="AF46" s="511"/>
      <c r="AG46" s="511"/>
      <c r="AH46" s="511"/>
      <c r="AI46" s="511"/>
      <c r="AJ46" s="511"/>
      <c r="AK46" s="511"/>
      <c r="AL46" s="532"/>
      <c r="AM46" s="510"/>
      <c r="AN46" s="511"/>
      <c r="AO46" s="511"/>
      <c r="AP46" s="511"/>
      <c r="AQ46" s="511"/>
      <c r="AR46" s="511"/>
      <c r="AS46" s="511"/>
      <c r="AT46" s="532"/>
      <c r="AU46" s="510"/>
      <c r="AV46" s="511"/>
      <c r="AW46" s="511"/>
      <c r="AX46" s="511"/>
      <c r="AY46" s="511"/>
      <c r="AZ46" s="511"/>
      <c r="BA46" s="511"/>
      <c r="BB46" s="532"/>
      <c r="BC46" s="510"/>
      <c r="BD46" s="511"/>
      <c r="BE46" s="511"/>
      <c r="BF46" s="511"/>
      <c r="BG46" s="511"/>
      <c r="BH46" s="511"/>
      <c r="BI46" s="511"/>
      <c r="BJ46" s="532"/>
      <c r="BK46" s="510"/>
      <c r="BL46" s="511"/>
      <c r="BM46" s="511"/>
      <c r="BN46" s="511"/>
      <c r="BO46" s="511"/>
      <c r="BP46" s="511"/>
      <c r="BQ46" s="511"/>
      <c r="BR46" s="532"/>
      <c r="BS46" s="510"/>
      <c r="BT46" s="511"/>
      <c r="BU46" s="511"/>
      <c r="BV46" s="511"/>
      <c r="BW46" s="511"/>
      <c r="BX46" s="511"/>
      <c r="BY46" s="511"/>
      <c r="BZ46" s="532"/>
      <c r="CA46" s="510"/>
      <c r="CB46" s="511"/>
      <c r="CC46" s="511"/>
      <c r="CD46" s="511"/>
      <c r="CE46" s="511"/>
      <c r="CF46" s="511"/>
      <c r="CG46" s="511"/>
      <c r="CH46" s="532"/>
      <c r="CI46" s="511"/>
      <c r="CJ46" s="511"/>
      <c r="CK46" s="511"/>
      <c r="CL46" s="511"/>
      <c r="CM46" s="511"/>
      <c r="CN46" s="511"/>
      <c r="CO46" s="511"/>
      <c r="CP46" s="512"/>
    </row>
    <row r="47" spans="2:94" x14ac:dyDescent="0.25">
      <c r="B47" s="502" t="s">
        <v>138</v>
      </c>
      <c r="C47" s="515"/>
      <c r="D47" s="515"/>
      <c r="E47" s="515" t="s">
        <v>129</v>
      </c>
      <c r="F47" s="515"/>
      <c r="G47" s="515"/>
      <c r="H47" s="515" t="s">
        <v>126</v>
      </c>
      <c r="I47" s="515" t="s">
        <v>139</v>
      </c>
      <c r="J47" s="515" t="s">
        <v>128</v>
      </c>
      <c r="K47" s="515" t="s">
        <v>131</v>
      </c>
      <c r="L47" s="515"/>
      <c r="M47" s="515"/>
      <c r="N47" s="515"/>
      <c r="O47" s="589" t="s">
        <v>133</v>
      </c>
      <c r="P47" s="589"/>
      <c r="Q47" s="589" t="s">
        <v>132</v>
      </c>
      <c r="R47" s="589"/>
      <c r="S47" s="589" t="s">
        <v>154</v>
      </c>
      <c r="T47" s="589"/>
      <c r="U47" s="589" t="s">
        <v>134</v>
      </c>
      <c r="V47" s="589"/>
      <c r="W47" s="589" t="s">
        <v>133</v>
      </c>
      <c r="X47" s="589"/>
      <c r="Y47" s="589" t="s">
        <v>132</v>
      </c>
      <c r="Z47" s="589"/>
      <c r="AA47" s="589" t="s">
        <v>154</v>
      </c>
      <c r="AB47" s="589"/>
      <c r="AC47" s="589" t="s">
        <v>134</v>
      </c>
      <c r="AD47" s="589"/>
      <c r="AE47" s="589" t="s">
        <v>133</v>
      </c>
      <c r="AF47" s="589"/>
      <c r="AG47" s="589" t="s">
        <v>132</v>
      </c>
      <c r="AH47" s="589"/>
      <c r="AI47" s="589" t="s">
        <v>154</v>
      </c>
      <c r="AJ47" s="589"/>
      <c r="AK47" s="589" t="s">
        <v>134</v>
      </c>
      <c r="AL47" s="589"/>
      <c r="AM47" s="589" t="s">
        <v>133</v>
      </c>
      <c r="AN47" s="589"/>
      <c r="AO47" s="589" t="s">
        <v>132</v>
      </c>
      <c r="AP47" s="589"/>
      <c r="AQ47" s="589" t="s">
        <v>154</v>
      </c>
      <c r="AR47" s="589"/>
      <c r="AS47" s="589" t="s">
        <v>134</v>
      </c>
      <c r="AT47" s="589"/>
      <c r="AU47" s="589" t="s">
        <v>133</v>
      </c>
      <c r="AV47" s="589"/>
      <c r="AW47" s="589" t="s">
        <v>132</v>
      </c>
      <c r="AX47" s="589"/>
      <c r="AY47" s="589" t="s">
        <v>154</v>
      </c>
      <c r="AZ47" s="589"/>
      <c r="BA47" s="589" t="s">
        <v>134</v>
      </c>
      <c r="BB47" s="589"/>
      <c r="BC47" s="589" t="s">
        <v>133</v>
      </c>
      <c r="BD47" s="589"/>
      <c r="BE47" s="589" t="s">
        <v>132</v>
      </c>
      <c r="BF47" s="589"/>
      <c r="BG47" s="589" t="s">
        <v>154</v>
      </c>
      <c r="BH47" s="589"/>
      <c r="BI47" s="589" t="s">
        <v>134</v>
      </c>
      <c r="BJ47" s="589"/>
      <c r="BK47" s="589" t="s">
        <v>133</v>
      </c>
      <c r="BL47" s="589"/>
      <c r="BM47" s="589" t="s">
        <v>132</v>
      </c>
      <c r="BN47" s="589"/>
      <c r="BO47" s="589" t="s">
        <v>154</v>
      </c>
      <c r="BP47" s="589"/>
      <c r="BQ47" s="589" t="s">
        <v>134</v>
      </c>
      <c r="BR47" s="589"/>
      <c r="BS47" s="589" t="s">
        <v>133</v>
      </c>
      <c r="BT47" s="589"/>
      <c r="BU47" s="589" t="s">
        <v>132</v>
      </c>
      <c r="BV47" s="589"/>
      <c r="BW47" s="589" t="s">
        <v>154</v>
      </c>
      <c r="BX47" s="589"/>
      <c r="BY47" s="589" t="s">
        <v>134</v>
      </c>
      <c r="BZ47" s="589"/>
      <c r="CA47" s="589" t="s">
        <v>133</v>
      </c>
      <c r="CB47" s="589"/>
      <c r="CC47" s="589" t="s">
        <v>132</v>
      </c>
      <c r="CD47" s="589"/>
      <c r="CE47" s="589" t="s">
        <v>154</v>
      </c>
      <c r="CF47" s="589"/>
      <c r="CG47" s="589" t="s">
        <v>134</v>
      </c>
      <c r="CH47" s="589"/>
      <c r="CI47" s="588" t="s">
        <v>133</v>
      </c>
      <c r="CJ47" s="589"/>
      <c r="CK47" s="589" t="s">
        <v>132</v>
      </c>
      <c r="CL47" s="589"/>
      <c r="CM47" s="589" t="s">
        <v>154</v>
      </c>
      <c r="CN47" s="589"/>
      <c r="CO47" s="589" t="s">
        <v>134</v>
      </c>
      <c r="CP47" s="590"/>
    </row>
    <row r="48" spans="2:94" x14ac:dyDescent="0.25">
      <c r="B48" s="502"/>
      <c r="C48" s="515"/>
      <c r="D48" s="515"/>
      <c r="E48" s="515"/>
      <c r="F48" s="515"/>
      <c r="G48" s="515"/>
      <c r="H48" s="515"/>
      <c r="I48" s="515"/>
      <c r="J48" s="515"/>
      <c r="K48" s="515"/>
      <c r="L48" s="515"/>
      <c r="M48" s="515"/>
      <c r="N48" s="515"/>
      <c r="O48" s="93" t="s">
        <v>136</v>
      </c>
      <c r="P48" s="93" t="s">
        <v>137</v>
      </c>
      <c r="Q48" s="93" t="s">
        <v>136</v>
      </c>
      <c r="R48" s="93" t="s">
        <v>137</v>
      </c>
      <c r="S48" s="93" t="s">
        <v>136</v>
      </c>
      <c r="T48" s="93" t="s">
        <v>137</v>
      </c>
      <c r="U48" s="93" t="s">
        <v>136</v>
      </c>
      <c r="V48" s="93" t="s">
        <v>137</v>
      </c>
      <c r="W48" s="93" t="s">
        <v>136</v>
      </c>
      <c r="X48" s="93" t="s">
        <v>137</v>
      </c>
      <c r="Y48" s="93" t="s">
        <v>136</v>
      </c>
      <c r="Z48" s="93" t="s">
        <v>137</v>
      </c>
      <c r="AA48" s="93" t="s">
        <v>136</v>
      </c>
      <c r="AB48" s="93" t="s">
        <v>137</v>
      </c>
      <c r="AC48" s="93" t="s">
        <v>136</v>
      </c>
      <c r="AD48" s="93" t="s">
        <v>137</v>
      </c>
      <c r="AE48" s="93" t="s">
        <v>136</v>
      </c>
      <c r="AF48" s="93" t="s">
        <v>137</v>
      </c>
      <c r="AG48" s="93" t="s">
        <v>136</v>
      </c>
      <c r="AH48" s="93" t="s">
        <v>137</v>
      </c>
      <c r="AI48" s="93" t="s">
        <v>136</v>
      </c>
      <c r="AJ48" s="93" t="s">
        <v>137</v>
      </c>
      <c r="AK48" s="93" t="s">
        <v>136</v>
      </c>
      <c r="AL48" s="93" t="s">
        <v>137</v>
      </c>
      <c r="AM48" s="93" t="s">
        <v>136</v>
      </c>
      <c r="AN48" s="93" t="s">
        <v>137</v>
      </c>
      <c r="AO48" s="93" t="s">
        <v>136</v>
      </c>
      <c r="AP48" s="93" t="s">
        <v>137</v>
      </c>
      <c r="AQ48" s="93" t="s">
        <v>136</v>
      </c>
      <c r="AR48" s="93" t="s">
        <v>137</v>
      </c>
      <c r="AS48" s="93" t="s">
        <v>136</v>
      </c>
      <c r="AT48" s="93" t="s">
        <v>137</v>
      </c>
      <c r="AU48" s="93" t="s">
        <v>136</v>
      </c>
      <c r="AV48" s="93" t="s">
        <v>137</v>
      </c>
      <c r="AW48" s="93" t="s">
        <v>136</v>
      </c>
      <c r="AX48" s="93" t="s">
        <v>137</v>
      </c>
      <c r="AY48" s="93" t="s">
        <v>136</v>
      </c>
      <c r="AZ48" s="93" t="s">
        <v>137</v>
      </c>
      <c r="BA48" s="93" t="s">
        <v>136</v>
      </c>
      <c r="BB48" s="93" t="s">
        <v>137</v>
      </c>
      <c r="BC48" s="93" t="s">
        <v>136</v>
      </c>
      <c r="BD48" s="93" t="s">
        <v>137</v>
      </c>
      <c r="BE48" s="93" t="s">
        <v>136</v>
      </c>
      <c r="BF48" s="93" t="s">
        <v>137</v>
      </c>
      <c r="BG48" s="93" t="s">
        <v>136</v>
      </c>
      <c r="BH48" s="93" t="s">
        <v>137</v>
      </c>
      <c r="BI48" s="93" t="s">
        <v>136</v>
      </c>
      <c r="BJ48" s="93" t="s">
        <v>137</v>
      </c>
      <c r="BK48" s="93" t="s">
        <v>136</v>
      </c>
      <c r="BL48" s="93" t="s">
        <v>137</v>
      </c>
      <c r="BM48" s="93" t="s">
        <v>136</v>
      </c>
      <c r="BN48" s="93" t="s">
        <v>137</v>
      </c>
      <c r="BO48" s="93" t="s">
        <v>136</v>
      </c>
      <c r="BP48" s="93" t="s">
        <v>137</v>
      </c>
      <c r="BQ48" s="93" t="s">
        <v>136</v>
      </c>
      <c r="BR48" s="93" t="s">
        <v>137</v>
      </c>
      <c r="BS48" s="93" t="s">
        <v>136</v>
      </c>
      <c r="BT48" s="93" t="s">
        <v>137</v>
      </c>
      <c r="BU48" s="93" t="s">
        <v>136</v>
      </c>
      <c r="BV48" s="93" t="s">
        <v>137</v>
      </c>
      <c r="BW48" s="93" t="s">
        <v>136</v>
      </c>
      <c r="BX48" s="93" t="s">
        <v>137</v>
      </c>
      <c r="BY48" s="93" t="s">
        <v>136</v>
      </c>
      <c r="BZ48" s="93" t="s">
        <v>137</v>
      </c>
      <c r="CA48" s="93" t="s">
        <v>136</v>
      </c>
      <c r="CB48" s="93" t="s">
        <v>137</v>
      </c>
      <c r="CC48" s="93" t="s">
        <v>136</v>
      </c>
      <c r="CD48" s="93" t="s">
        <v>137</v>
      </c>
      <c r="CE48" s="93" t="s">
        <v>136</v>
      </c>
      <c r="CF48" s="93" t="s">
        <v>137</v>
      </c>
      <c r="CG48" s="93" t="s">
        <v>136</v>
      </c>
      <c r="CH48" s="93" t="s">
        <v>137</v>
      </c>
      <c r="CI48" s="125" t="s">
        <v>136</v>
      </c>
      <c r="CJ48" s="93" t="s">
        <v>137</v>
      </c>
      <c r="CK48" s="93" t="s">
        <v>136</v>
      </c>
      <c r="CL48" s="93" t="s">
        <v>137</v>
      </c>
      <c r="CM48" s="93" t="s">
        <v>136</v>
      </c>
      <c r="CN48" s="93" t="s">
        <v>137</v>
      </c>
      <c r="CO48" s="93" t="s">
        <v>136</v>
      </c>
      <c r="CP48" s="94" t="s">
        <v>137</v>
      </c>
    </row>
    <row r="49" spans="2:94" ht="17.25" x14ac:dyDescent="0.25">
      <c r="B49" s="686" t="s">
        <v>305</v>
      </c>
      <c r="C49" s="646"/>
      <c r="D49" s="647"/>
      <c r="E49" s="606" t="s">
        <v>143</v>
      </c>
      <c r="F49" s="607"/>
      <c r="G49" s="607"/>
      <c r="H49" s="29" t="s">
        <v>146</v>
      </c>
      <c r="I49" s="29" t="s">
        <v>141</v>
      </c>
      <c r="J49" s="29">
        <v>200</v>
      </c>
      <c r="K49" s="608" t="s">
        <v>148</v>
      </c>
      <c r="L49" s="608"/>
      <c r="M49" s="608"/>
      <c r="N49" s="608"/>
      <c r="O49" s="591" t="e">
        <f>'Toma de datos'!G232*('Toma de datos'!$C$232+1)/100000</f>
        <v>#VALUE!</v>
      </c>
      <c r="P49" s="591" t="s">
        <v>306</v>
      </c>
      <c r="Q49" s="104">
        <f t="array" ref="Q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R49" s="92" t="s">
        <v>16</v>
      </c>
      <c r="S49" s="43" t="e">
        <f>Q49*O49</f>
        <v>#VALUE!</v>
      </c>
      <c r="T49" s="92" t="s">
        <v>291</v>
      </c>
      <c r="U49" s="105" t="e">
        <f>S49*S49</f>
        <v>#VALUE!</v>
      </c>
      <c r="V49" s="92" t="s">
        <v>308</v>
      </c>
      <c r="W49" s="591" t="e">
        <f>'Toma de datos'!G233*('Toma de datos'!$C$232+1)/100000</f>
        <v>#VALUE!</v>
      </c>
      <c r="X49" s="591" t="s">
        <v>306</v>
      </c>
      <c r="Y49" s="104">
        <f t="array" ref="Y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Z49" s="92" t="s">
        <v>16</v>
      </c>
      <c r="AA49" s="43" t="e">
        <f>Y49*W49</f>
        <v>#VALUE!</v>
      </c>
      <c r="AB49" s="92" t="s">
        <v>291</v>
      </c>
      <c r="AC49" s="105" t="e">
        <f>AA49*AA49</f>
        <v>#VALUE!</v>
      </c>
      <c r="AD49" s="92" t="s">
        <v>308</v>
      </c>
      <c r="AE49" s="591" t="e">
        <f>'Toma de datos'!G234*('Toma de datos'!$C$232+1)/100000</f>
        <v>#VALUE!</v>
      </c>
      <c r="AF49" s="591" t="s">
        <v>306</v>
      </c>
      <c r="AG49" s="104">
        <f t="array" ref="AG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AH49" s="92" t="s">
        <v>16</v>
      </c>
      <c r="AI49" s="43" t="e">
        <f>AG49*AE49</f>
        <v>#VALUE!</v>
      </c>
      <c r="AJ49" s="92" t="s">
        <v>291</v>
      </c>
      <c r="AK49" s="105" t="e">
        <f>AI49*AI49</f>
        <v>#VALUE!</v>
      </c>
      <c r="AL49" s="92" t="s">
        <v>308</v>
      </c>
      <c r="AM49" s="591" t="e">
        <f>'Toma de datos'!G235*('Toma de datos'!$C$232+1)/100000</f>
        <v>#VALUE!</v>
      </c>
      <c r="AN49" s="591" t="s">
        <v>306</v>
      </c>
      <c r="AO49" s="104">
        <f t="array" ref="AO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AP49" s="92" t="s">
        <v>16</v>
      </c>
      <c r="AQ49" s="43" t="e">
        <f>AO49*AM49</f>
        <v>#VALUE!</v>
      </c>
      <c r="AR49" s="92" t="s">
        <v>291</v>
      </c>
      <c r="AS49" s="105" t="e">
        <f>AQ49*AQ49</f>
        <v>#VALUE!</v>
      </c>
      <c r="AT49" s="92" t="s">
        <v>308</v>
      </c>
      <c r="AU49" s="591" t="e">
        <f>'Toma de datos'!G236*('Toma de datos'!$C$232+1)/100000</f>
        <v>#VALUE!</v>
      </c>
      <c r="AV49" s="591" t="s">
        <v>306</v>
      </c>
      <c r="AW49" s="104">
        <f t="array" ref="AW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AX49" s="92" t="s">
        <v>16</v>
      </c>
      <c r="AY49" s="43" t="e">
        <f>AW49*AU49</f>
        <v>#VALUE!</v>
      </c>
      <c r="AZ49" s="92" t="s">
        <v>291</v>
      </c>
      <c r="BA49" s="105" t="e">
        <f>AY49*AY49</f>
        <v>#VALUE!</v>
      </c>
      <c r="BB49" s="92" t="s">
        <v>308</v>
      </c>
      <c r="BC49" s="591" t="e">
        <f>'Toma de datos'!K232*('Toma de datos'!$C$232+1)/100000</f>
        <v>#VALUE!</v>
      </c>
      <c r="BD49" s="591" t="s">
        <v>306</v>
      </c>
      <c r="BE49" s="104">
        <f t="array" ref="BE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BF49" s="92" t="s">
        <v>16</v>
      </c>
      <c r="BG49" s="43" t="e">
        <f>BE49*BC49</f>
        <v>#VALUE!</v>
      </c>
      <c r="BH49" s="92" t="s">
        <v>291</v>
      </c>
      <c r="BI49" s="105" t="e">
        <f>BG49*BG49</f>
        <v>#VALUE!</v>
      </c>
      <c r="BJ49" s="92" t="s">
        <v>308</v>
      </c>
      <c r="BK49" s="591" t="e">
        <f>'Toma de datos'!K233*('Toma de datos'!$C$232+1)/100000</f>
        <v>#VALUE!</v>
      </c>
      <c r="BL49" s="591" t="s">
        <v>306</v>
      </c>
      <c r="BM49" s="104">
        <f t="array" ref="BM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BN49" s="92" t="s">
        <v>16</v>
      </c>
      <c r="BO49" s="43" t="e">
        <f>BM49*BK49</f>
        <v>#VALUE!</v>
      </c>
      <c r="BP49" s="92" t="s">
        <v>291</v>
      </c>
      <c r="BQ49" s="105" t="e">
        <f>BO49*BO49</f>
        <v>#VALUE!</v>
      </c>
      <c r="BR49" s="92" t="s">
        <v>308</v>
      </c>
      <c r="BS49" s="591" t="e">
        <f>'Toma de datos'!K234*('Toma de datos'!$C$232+1)/100000</f>
        <v>#VALUE!</v>
      </c>
      <c r="BT49" s="591" t="s">
        <v>306</v>
      </c>
      <c r="BU49" s="104">
        <f t="array" ref="BU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BV49" s="92" t="s">
        <v>16</v>
      </c>
      <c r="BW49" s="43" t="e">
        <f>BU49*BS49</f>
        <v>#VALUE!</v>
      </c>
      <c r="BX49" s="92" t="s">
        <v>291</v>
      </c>
      <c r="BY49" s="105" t="e">
        <f>BW49*BW49</f>
        <v>#VALUE!</v>
      </c>
      <c r="BZ49" s="92" t="s">
        <v>308</v>
      </c>
      <c r="CA49" s="591" t="e">
        <f>'Toma de datos'!K235*('Toma de datos'!$C$232+1)/100000</f>
        <v>#VALUE!</v>
      </c>
      <c r="CB49" s="591" t="s">
        <v>306</v>
      </c>
      <c r="CC49" s="104">
        <f t="array" ref="CC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CD49" s="92" t="s">
        <v>16</v>
      </c>
      <c r="CE49" s="43" t="e">
        <f>CC49*CA49</f>
        <v>#VALUE!</v>
      </c>
      <c r="CF49" s="92" t="s">
        <v>291</v>
      </c>
      <c r="CG49" s="105" t="e">
        <f>CE49*CE49</f>
        <v>#VALUE!</v>
      </c>
      <c r="CH49" s="92" t="s">
        <v>308</v>
      </c>
      <c r="CI49" s="591" t="e">
        <f>'Toma de datos'!K236*('Toma de datos'!$C$232+1)/100000</f>
        <v>#VALUE!</v>
      </c>
      <c r="CJ49" s="591" t="s">
        <v>306</v>
      </c>
      <c r="CK49" s="104">
        <f t="array" ref="CK49">IF('Información general'!$H$76='Equipamiento y listas'!$A$25,MAX(IF(Corrección!$F$309:$F$317&lt;&gt;0,Corrección!$E$309:$E$317/Corrección!$F$309:$F$317)))+IF('Información general'!$H$76='Equipamiento y listas'!$A$26,MAX(IF(Corrección!$F$344:$F$352&lt;&gt;0,Corrección!$E$344:$E$352/Corrección!$F$344:$F$352)))+IF('Información general'!$H$76='Equipamiento y listas'!$A$27,MAX(IF(Corrección!$F$378:$F$386&lt;&gt;0,Corrección!$E$378:$E$386/Corrección!$F$378:$F$386)))</f>
        <v>0</v>
      </c>
      <c r="CL49" s="92" t="s">
        <v>16</v>
      </c>
      <c r="CM49" s="43" t="e">
        <f>CK49*CI49</f>
        <v>#VALUE!</v>
      </c>
      <c r="CN49" s="92" t="s">
        <v>291</v>
      </c>
      <c r="CO49" s="105" t="e">
        <f>CM49*CM49</f>
        <v>#VALUE!</v>
      </c>
      <c r="CP49" s="92" t="s">
        <v>308</v>
      </c>
    </row>
    <row r="50" spans="2:94" ht="17.25" x14ac:dyDescent="0.25">
      <c r="B50" s="603"/>
      <c r="C50" s="604"/>
      <c r="D50" s="605"/>
      <c r="E50" s="609" t="s">
        <v>296</v>
      </c>
      <c r="F50" s="610"/>
      <c r="G50" s="610"/>
      <c r="H50" s="1" t="s">
        <v>140</v>
      </c>
      <c r="I50" s="1" t="s">
        <v>141</v>
      </c>
      <c r="J50" s="1">
        <v>50</v>
      </c>
      <c r="K50" s="611" t="s">
        <v>142</v>
      </c>
      <c r="L50" s="611"/>
      <c r="M50" s="611"/>
      <c r="N50" s="611"/>
      <c r="O50" s="591"/>
      <c r="P50" s="591"/>
      <c r="Q50" s="57" t="e">
        <f>'Información general'!$H$77/SQRT(12)</f>
        <v>#N/A</v>
      </c>
      <c r="R50" s="3" t="s">
        <v>16</v>
      </c>
      <c r="S50" s="16" t="e">
        <f>Q50*O49</f>
        <v>#N/A</v>
      </c>
      <c r="T50" s="3" t="s">
        <v>291</v>
      </c>
      <c r="U50" s="54" t="e">
        <f>S50*S50</f>
        <v>#N/A</v>
      </c>
      <c r="V50" s="3" t="s">
        <v>308</v>
      </c>
      <c r="W50" s="591"/>
      <c r="X50" s="591"/>
      <c r="Y50" s="57" t="e">
        <f>'Información general'!$H$77/SQRT(12)</f>
        <v>#N/A</v>
      </c>
      <c r="Z50" s="3" t="s">
        <v>16</v>
      </c>
      <c r="AA50" s="16" t="e">
        <f>Y50*W49</f>
        <v>#N/A</v>
      </c>
      <c r="AB50" s="3" t="s">
        <v>291</v>
      </c>
      <c r="AC50" s="54" t="e">
        <f>AA50*AA50</f>
        <v>#N/A</v>
      </c>
      <c r="AD50" s="3" t="s">
        <v>308</v>
      </c>
      <c r="AE50" s="591"/>
      <c r="AF50" s="591"/>
      <c r="AG50" s="57" t="e">
        <f>'Información general'!$H$77/SQRT(12)</f>
        <v>#N/A</v>
      </c>
      <c r="AH50" s="3" t="s">
        <v>16</v>
      </c>
      <c r="AI50" s="16" t="e">
        <f>AG50*AE49</f>
        <v>#N/A</v>
      </c>
      <c r="AJ50" s="3" t="s">
        <v>291</v>
      </c>
      <c r="AK50" s="54" t="e">
        <f>AI50*AI50</f>
        <v>#N/A</v>
      </c>
      <c r="AL50" s="3" t="s">
        <v>308</v>
      </c>
      <c r="AM50" s="591"/>
      <c r="AN50" s="591"/>
      <c r="AO50" s="57" t="e">
        <f>'Información general'!$H$77/SQRT(12)</f>
        <v>#N/A</v>
      </c>
      <c r="AP50" s="3" t="s">
        <v>16</v>
      </c>
      <c r="AQ50" s="16" t="e">
        <f>AO50*AM49</f>
        <v>#N/A</v>
      </c>
      <c r="AR50" s="3" t="s">
        <v>291</v>
      </c>
      <c r="AS50" s="54" t="e">
        <f>AQ50*AQ50</f>
        <v>#N/A</v>
      </c>
      <c r="AT50" s="3" t="s">
        <v>308</v>
      </c>
      <c r="AU50" s="591"/>
      <c r="AV50" s="591"/>
      <c r="AW50" s="57" t="e">
        <f>'Información general'!$H$77/SQRT(12)</f>
        <v>#N/A</v>
      </c>
      <c r="AX50" s="3" t="s">
        <v>16</v>
      </c>
      <c r="AY50" s="16" t="e">
        <f>AW50*AU49</f>
        <v>#N/A</v>
      </c>
      <c r="AZ50" s="3" t="s">
        <v>291</v>
      </c>
      <c r="BA50" s="54" t="e">
        <f>AY50*AY50</f>
        <v>#N/A</v>
      </c>
      <c r="BB50" s="3" t="s">
        <v>308</v>
      </c>
      <c r="BC50" s="591"/>
      <c r="BD50" s="591"/>
      <c r="BE50" s="57" t="e">
        <f>'Información general'!$H$77/SQRT(12)</f>
        <v>#N/A</v>
      </c>
      <c r="BF50" s="3" t="s">
        <v>16</v>
      </c>
      <c r="BG50" s="16" t="e">
        <f>BE50*BC49</f>
        <v>#N/A</v>
      </c>
      <c r="BH50" s="3" t="s">
        <v>291</v>
      </c>
      <c r="BI50" s="54" t="e">
        <f>BG50*BG50</f>
        <v>#N/A</v>
      </c>
      <c r="BJ50" s="3" t="s">
        <v>308</v>
      </c>
      <c r="BK50" s="591"/>
      <c r="BL50" s="591"/>
      <c r="BM50" s="57" t="e">
        <f>'Información general'!$H$77/SQRT(12)</f>
        <v>#N/A</v>
      </c>
      <c r="BN50" s="3" t="s">
        <v>16</v>
      </c>
      <c r="BO50" s="16" t="e">
        <f>BM50*BK49</f>
        <v>#N/A</v>
      </c>
      <c r="BP50" s="3" t="s">
        <v>291</v>
      </c>
      <c r="BQ50" s="54" t="e">
        <f>BO50*BO50</f>
        <v>#N/A</v>
      </c>
      <c r="BR50" s="3" t="s">
        <v>308</v>
      </c>
      <c r="BS50" s="591"/>
      <c r="BT50" s="591"/>
      <c r="BU50" s="57" t="e">
        <f>'Información general'!$H$77/SQRT(12)</f>
        <v>#N/A</v>
      </c>
      <c r="BV50" s="3" t="s">
        <v>16</v>
      </c>
      <c r="BW50" s="16" t="e">
        <f>BU50*BS49</f>
        <v>#N/A</v>
      </c>
      <c r="BX50" s="3" t="s">
        <v>291</v>
      </c>
      <c r="BY50" s="54" t="e">
        <f>BW50*BW50</f>
        <v>#N/A</v>
      </c>
      <c r="BZ50" s="3" t="s">
        <v>308</v>
      </c>
      <c r="CA50" s="591"/>
      <c r="CB50" s="591"/>
      <c r="CC50" s="57" t="e">
        <f>'Información general'!$H$77/SQRT(12)</f>
        <v>#N/A</v>
      </c>
      <c r="CD50" s="3" t="s">
        <v>16</v>
      </c>
      <c r="CE50" s="16" t="e">
        <f>CC50*CA49</f>
        <v>#N/A</v>
      </c>
      <c r="CF50" s="3" t="s">
        <v>291</v>
      </c>
      <c r="CG50" s="54" t="e">
        <f>CE50*CE50</f>
        <v>#N/A</v>
      </c>
      <c r="CH50" s="3" t="s">
        <v>308</v>
      </c>
      <c r="CI50" s="591"/>
      <c r="CJ50" s="591"/>
      <c r="CK50" s="57" t="e">
        <f>'Información general'!$H$77/SQRT(12)</f>
        <v>#N/A</v>
      </c>
      <c r="CL50" s="3" t="s">
        <v>16</v>
      </c>
      <c r="CM50" s="16" t="e">
        <f>CK50*CI49</f>
        <v>#N/A</v>
      </c>
      <c r="CN50" s="3" t="s">
        <v>291</v>
      </c>
      <c r="CO50" s="54" t="e">
        <f>CM50*CM50</f>
        <v>#N/A</v>
      </c>
      <c r="CP50" s="3" t="s">
        <v>308</v>
      </c>
    </row>
    <row r="51" spans="2:94" ht="17.25" x14ac:dyDescent="0.25">
      <c r="B51" s="603"/>
      <c r="C51" s="604"/>
      <c r="D51" s="605"/>
      <c r="E51" s="609" t="s">
        <v>145</v>
      </c>
      <c r="F51" s="610"/>
      <c r="G51" s="610"/>
      <c r="H51" s="1" t="s">
        <v>140</v>
      </c>
      <c r="I51" s="1" t="s">
        <v>141</v>
      </c>
      <c r="J51" s="1" t="b">
        <f>IF('Información general'!H76='Equipamiento y listas'!A25,COUNT(Corrección!C309:C317)-3,IF('Información general'!H76='Equipamiento y listas'!A26,COUNT(Corrección!C344:C352)-3,IF('Información general'!H76='Equipamiento y listas'!A27,COUNT(Corrección!C378:C386)-3)))</f>
        <v>0</v>
      </c>
      <c r="K51" s="611" t="s">
        <v>149</v>
      </c>
      <c r="L51" s="611"/>
      <c r="M51" s="611"/>
      <c r="N51" s="611"/>
      <c r="O51" s="592"/>
      <c r="P51" s="592"/>
      <c r="Q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R51" s="3" t="s">
        <v>16</v>
      </c>
      <c r="S51" s="16" t="e">
        <f>Q51*O49</f>
        <v>#VALUE!</v>
      </c>
      <c r="T51" s="3" t="s">
        <v>291</v>
      </c>
      <c r="U51" s="54" t="e">
        <f>S51*S51</f>
        <v>#VALUE!</v>
      </c>
      <c r="V51" s="3" t="s">
        <v>308</v>
      </c>
      <c r="W51" s="592"/>
      <c r="X51" s="592"/>
      <c r="Y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Z51" s="3" t="s">
        <v>16</v>
      </c>
      <c r="AA51" s="16" t="e">
        <f>Y51*W49</f>
        <v>#VALUE!</v>
      </c>
      <c r="AB51" s="3" t="s">
        <v>291</v>
      </c>
      <c r="AC51" s="54" t="e">
        <f>AA51*AA51</f>
        <v>#VALUE!</v>
      </c>
      <c r="AD51" s="3" t="s">
        <v>308</v>
      </c>
      <c r="AE51" s="592"/>
      <c r="AF51" s="592"/>
      <c r="AG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AH51" s="3" t="s">
        <v>16</v>
      </c>
      <c r="AI51" s="16" t="e">
        <f>AG51*AE49</f>
        <v>#VALUE!</v>
      </c>
      <c r="AJ51" s="3" t="s">
        <v>291</v>
      </c>
      <c r="AK51" s="54" t="e">
        <f>AI51*AI51</f>
        <v>#VALUE!</v>
      </c>
      <c r="AL51" s="3" t="s">
        <v>308</v>
      </c>
      <c r="AM51" s="592"/>
      <c r="AN51" s="592"/>
      <c r="AO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AP51" s="3" t="s">
        <v>16</v>
      </c>
      <c r="AQ51" s="16" t="e">
        <f>AO51*AM49</f>
        <v>#VALUE!</v>
      </c>
      <c r="AR51" s="3" t="s">
        <v>291</v>
      </c>
      <c r="AS51" s="54" t="e">
        <f>AQ51*AQ51</f>
        <v>#VALUE!</v>
      </c>
      <c r="AT51" s="3" t="s">
        <v>308</v>
      </c>
      <c r="AU51" s="592"/>
      <c r="AV51" s="592"/>
      <c r="AW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AX51" s="3" t="s">
        <v>16</v>
      </c>
      <c r="AY51" s="16" t="e">
        <f>AW51*AU49</f>
        <v>#VALUE!</v>
      </c>
      <c r="AZ51" s="3" t="s">
        <v>291</v>
      </c>
      <c r="BA51" s="54" t="e">
        <f>AY51*AY51</f>
        <v>#VALUE!</v>
      </c>
      <c r="BB51" s="3" t="s">
        <v>308</v>
      </c>
      <c r="BC51" s="592"/>
      <c r="BD51" s="592"/>
      <c r="BE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BF51" s="3" t="s">
        <v>16</v>
      </c>
      <c r="BG51" s="16" t="e">
        <f>BE51*BC49</f>
        <v>#VALUE!</v>
      </c>
      <c r="BH51" s="3" t="s">
        <v>291</v>
      </c>
      <c r="BI51" s="54" t="e">
        <f>BG51*BG51</f>
        <v>#VALUE!</v>
      </c>
      <c r="BJ51" s="3" t="s">
        <v>308</v>
      </c>
      <c r="BK51" s="592"/>
      <c r="BL51" s="592"/>
      <c r="BM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BN51" s="3" t="s">
        <v>16</v>
      </c>
      <c r="BO51" s="16" t="e">
        <f>BM51*BK49</f>
        <v>#VALUE!</v>
      </c>
      <c r="BP51" s="3" t="s">
        <v>291</v>
      </c>
      <c r="BQ51" s="54" t="e">
        <f>BO51*BO51</f>
        <v>#VALUE!</v>
      </c>
      <c r="BR51" s="3" t="s">
        <v>308</v>
      </c>
      <c r="BS51" s="592"/>
      <c r="BT51" s="592"/>
      <c r="BU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BV51" s="3" t="s">
        <v>16</v>
      </c>
      <c r="BW51" s="16" t="e">
        <f>BU51*BS49</f>
        <v>#VALUE!</v>
      </c>
      <c r="BX51" s="3" t="s">
        <v>291</v>
      </c>
      <c r="BY51" s="54" t="e">
        <f>BW51*BW51</f>
        <v>#VALUE!</v>
      </c>
      <c r="BZ51" s="3" t="s">
        <v>308</v>
      </c>
      <c r="CA51" s="592"/>
      <c r="CB51" s="592"/>
      <c r="CC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CD51" s="3" t="s">
        <v>16</v>
      </c>
      <c r="CE51" s="16" t="e">
        <f>CC51*CA49</f>
        <v>#VALUE!</v>
      </c>
      <c r="CF51" s="3" t="s">
        <v>291</v>
      </c>
      <c r="CG51" s="54" t="e">
        <f>CE51*CE51</f>
        <v>#VALUE!</v>
      </c>
      <c r="CH51" s="3" t="s">
        <v>308</v>
      </c>
      <c r="CI51" s="592"/>
      <c r="CJ51" s="592"/>
      <c r="CK51" s="57" t="b">
        <f>IF('Información general'!$H$76='Equipamiento y listas'!$A$25,Corrección!$F$323,IF('Información general'!$H$76='Equipamiento y listas'!$A$26,Corrección!$F$357,IF('Información general'!$H$76='Equipamiento y listas'!$A$27,Corrección!$F$393)))</f>
        <v>0</v>
      </c>
      <c r="CL51" s="3" t="s">
        <v>16</v>
      </c>
      <c r="CM51" s="16" t="e">
        <f>CK51*CI49</f>
        <v>#VALUE!</v>
      </c>
      <c r="CN51" s="3" t="s">
        <v>291</v>
      </c>
      <c r="CO51" s="54" t="e">
        <f>CM51*CM51</f>
        <v>#VALUE!</v>
      </c>
      <c r="CP51" s="3" t="s">
        <v>308</v>
      </c>
    </row>
    <row r="52" spans="2:94" ht="17.25" x14ac:dyDescent="0.25">
      <c r="B52" s="680" t="s">
        <v>447</v>
      </c>
      <c r="C52" s="584"/>
      <c r="D52" s="681"/>
      <c r="E52" s="609" t="s">
        <v>298</v>
      </c>
      <c r="F52" s="610"/>
      <c r="G52" s="610"/>
      <c r="H52" s="1" t="s">
        <v>140</v>
      </c>
      <c r="I52" s="1" t="s">
        <v>141</v>
      </c>
      <c r="J52" s="1">
        <v>10000</v>
      </c>
      <c r="K52" s="611" t="s">
        <v>299</v>
      </c>
      <c r="L52" s="611"/>
      <c r="M52" s="611"/>
      <c r="N52" s="611"/>
      <c r="O52" s="53" t="e">
        <f>('Toma de datos'!G232/'Toma de datos'!$C$239)/(1+'Toma de datos'!$C$240*('Toma de datos'!C92-'Toma de datos'!$C$238)/'Toma de datos'!$C$239)</f>
        <v>#VALUE!</v>
      </c>
      <c r="P52" s="53" t="s">
        <v>307</v>
      </c>
      <c r="Q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R52" s="3" t="s">
        <v>219</v>
      </c>
      <c r="S52" s="16" t="e">
        <f>Q52*O52</f>
        <v>#VALUE!</v>
      </c>
      <c r="T52" s="3" t="s">
        <v>291</v>
      </c>
      <c r="U52" s="54" t="e">
        <f>S52*S52</f>
        <v>#VALUE!</v>
      </c>
      <c r="V52" s="3" t="s">
        <v>308</v>
      </c>
      <c r="W52" s="53" t="e">
        <f>('Toma de datos'!G233/'Toma de datos'!$C$239)/(1+'Toma de datos'!$C$240*('Toma de datos'!C93-'Toma de datos'!$C$238)/'Toma de datos'!$C$239)</f>
        <v>#VALUE!</v>
      </c>
      <c r="X52" s="53" t="s">
        <v>307</v>
      </c>
      <c r="Y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Z52" s="3" t="s">
        <v>219</v>
      </c>
      <c r="AA52" s="16" t="e">
        <f>Y52*W52</f>
        <v>#VALUE!</v>
      </c>
      <c r="AB52" s="3" t="s">
        <v>291</v>
      </c>
      <c r="AC52" s="54" t="e">
        <f>AA52*AA52</f>
        <v>#VALUE!</v>
      </c>
      <c r="AD52" s="3" t="s">
        <v>308</v>
      </c>
      <c r="AE52" s="53" t="e">
        <f>('Toma de datos'!G234/'Toma de datos'!$C$239)/(1+'Toma de datos'!$C$240*('Toma de datos'!C94-'Toma de datos'!$C$238)/'Toma de datos'!$C$239)</f>
        <v>#VALUE!</v>
      </c>
      <c r="AF52" s="53" t="s">
        <v>307</v>
      </c>
      <c r="AG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AH52" s="3" t="s">
        <v>219</v>
      </c>
      <c r="AI52" s="16" t="e">
        <f>AG52*AE52</f>
        <v>#VALUE!</v>
      </c>
      <c r="AJ52" s="3" t="s">
        <v>291</v>
      </c>
      <c r="AK52" s="54" t="e">
        <f>AI52*AI52</f>
        <v>#VALUE!</v>
      </c>
      <c r="AL52" s="3" t="s">
        <v>308</v>
      </c>
      <c r="AM52" s="53" t="e">
        <f>('Toma de datos'!G235/'Toma de datos'!$C$239)/(1+'Toma de datos'!$C$240*('Toma de datos'!C95-'Toma de datos'!$C$238)/'Toma de datos'!$C$239)</f>
        <v>#VALUE!</v>
      </c>
      <c r="AN52" s="53" t="s">
        <v>307</v>
      </c>
      <c r="AO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AP52" s="3" t="s">
        <v>219</v>
      </c>
      <c r="AQ52" s="16" t="e">
        <f>AO52*AM52</f>
        <v>#VALUE!</v>
      </c>
      <c r="AR52" s="3" t="s">
        <v>291</v>
      </c>
      <c r="AS52" s="54" t="e">
        <f>AQ52*AQ52</f>
        <v>#VALUE!</v>
      </c>
      <c r="AT52" s="3" t="s">
        <v>308</v>
      </c>
      <c r="AU52" s="53" t="e">
        <f>('Toma de datos'!G236/'Toma de datos'!$C$239)/(1+'Toma de datos'!$C$240*('Toma de datos'!C96-'Toma de datos'!$C$238)/'Toma de datos'!$C$239)</f>
        <v>#VALUE!</v>
      </c>
      <c r="AV52" s="53" t="s">
        <v>307</v>
      </c>
      <c r="AW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AX52" s="3" t="s">
        <v>219</v>
      </c>
      <c r="AY52" s="16" t="e">
        <f>AW52*AU52</f>
        <v>#VALUE!</v>
      </c>
      <c r="AZ52" s="3" t="s">
        <v>291</v>
      </c>
      <c r="BA52" s="54" t="e">
        <f>AY52*AY52</f>
        <v>#VALUE!</v>
      </c>
      <c r="BB52" s="3" t="s">
        <v>308</v>
      </c>
      <c r="BC52" s="53" t="e">
        <f>('Toma de datos'!K232/'Toma de datos'!$C$239)/(1+'Toma de datos'!$C$240*('Toma de datos'!C97-'Toma de datos'!$C$238)/'Toma de datos'!$C$239)</f>
        <v>#VALUE!</v>
      </c>
      <c r="BD52" s="53" t="s">
        <v>307</v>
      </c>
      <c r="BE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BF52" s="3" t="s">
        <v>219</v>
      </c>
      <c r="BG52" s="16" t="e">
        <f>BE52*BC52</f>
        <v>#VALUE!</v>
      </c>
      <c r="BH52" s="3" t="s">
        <v>291</v>
      </c>
      <c r="BI52" s="54" t="e">
        <f>BG52*BG52</f>
        <v>#VALUE!</v>
      </c>
      <c r="BJ52" s="3" t="s">
        <v>308</v>
      </c>
      <c r="BK52" s="53" t="e">
        <f>('Toma de datos'!K233/'Toma de datos'!$C$239)/(1+'Toma de datos'!$C$240*('Toma de datos'!C98-'Toma de datos'!$C$238)/'Toma de datos'!$C$239)</f>
        <v>#VALUE!</v>
      </c>
      <c r="BL52" s="53" t="s">
        <v>307</v>
      </c>
      <c r="BM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BN52" s="3" t="s">
        <v>219</v>
      </c>
      <c r="BO52" s="16" t="e">
        <f>BM52*BK52</f>
        <v>#VALUE!</v>
      </c>
      <c r="BP52" s="3" t="s">
        <v>291</v>
      </c>
      <c r="BQ52" s="54" t="e">
        <f>BO52*BO52</f>
        <v>#VALUE!</v>
      </c>
      <c r="BR52" s="3" t="s">
        <v>308</v>
      </c>
      <c r="BS52" s="53" t="e">
        <f>('Toma de datos'!K234/'Toma de datos'!$C$239)/(1+'Toma de datos'!$C$240*('Toma de datos'!C99-'Toma de datos'!$C$238)/'Toma de datos'!$C$239)</f>
        <v>#VALUE!</v>
      </c>
      <c r="BT52" s="53" t="s">
        <v>307</v>
      </c>
      <c r="BU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BV52" s="3" t="s">
        <v>219</v>
      </c>
      <c r="BW52" s="16" t="e">
        <f>BU52*BS52</f>
        <v>#VALUE!</v>
      </c>
      <c r="BX52" s="3" t="s">
        <v>291</v>
      </c>
      <c r="BY52" s="54" t="e">
        <f>BW52*BW52</f>
        <v>#VALUE!</v>
      </c>
      <c r="BZ52" s="3" t="s">
        <v>308</v>
      </c>
      <c r="CA52" s="53" t="e">
        <f>('Toma de datos'!K235/'Toma de datos'!$C$239)/(1+'Toma de datos'!$C$240*('Toma de datos'!C100-'Toma de datos'!$C$238)/'Toma de datos'!$C$239)</f>
        <v>#VALUE!</v>
      </c>
      <c r="CB52" s="53" t="s">
        <v>307</v>
      </c>
      <c r="CC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CD52" s="3" t="s">
        <v>219</v>
      </c>
      <c r="CE52" s="16" t="e">
        <f>CC52*CA52</f>
        <v>#VALUE!</v>
      </c>
      <c r="CF52" s="3" t="s">
        <v>291</v>
      </c>
      <c r="CG52" s="54" t="e">
        <f>CE52*CE52</f>
        <v>#VALUE!</v>
      </c>
      <c r="CH52" s="3" t="s">
        <v>308</v>
      </c>
      <c r="CI52" s="53" t="e">
        <f>('Toma de datos'!K236/'Toma de datos'!$C$239)/(1+'Toma de datos'!$C$240*('Toma de datos'!C101-'Toma de datos'!$C$238)/'Toma de datos'!$C$239)</f>
        <v>#VALUE!</v>
      </c>
      <c r="CJ52" s="53" t="s">
        <v>307</v>
      </c>
      <c r="CK52" s="57">
        <f>'Información general'!$L$40*LOOKUP('Información general'!$N$37,'Equipamiento y listas'!$J$36:$J$48,'Equipamiento y listas'!$L$36:$L$48)*LOOKUP("psi",'Equipamiento y listas'!$K$49:$K$61,'Equipamiento y listas'!$L$49:$L$61)/SQRT(12)</f>
        <v>0</v>
      </c>
      <c r="CL52" s="3" t="s">
        <v>219</v>
      </c>
      <c r="CM52" s="16" t="e">
        <f>CK52*CI52</f>
        <v>#VALUE!</v>
      </c>
      <c r="CN52" s="3" t="s">
        <v>291</v>
      </c>
      <c r="CO52" s="54" t="e">
        <f>CM52*CM52</f>
        <v>#VALUE!</v>
      </c>
      <c r="CP52" s="3" t="s">
        <v>308</v>
      </c>
    </row>
    <row r="53" spans="2:94" ht="17.25" x14ac:dyDescent="0.25">
      <c r="O53" s="679" t="s">
        <v>155</v>
      </c>
      <c r="P53" s="594"/>
      <c r="Q53" s="594"/>
      <c r="R53" s="594"/>
      <c r="S53" s="595"/>
      <c r="T53" s="596" t="e">
        <f>SQRT(SUM(U49:U52))</f>
        <v>#VALUE!</v>
      </c>
      <c r="U53" s="597"/>
      <c r="V53" s="118" t="s">
        <v>291</v>
      </c>
      <c r="W53" s="593" t="s">
        <v>155</v>
      </c>
      <c r="X53" s="594"/>
      <c r="Y53" s="594"/>
      <c r="Z53" s="594"/>
      <c r="AA53" s="595"/>
      <c r="AB53" s="596" t="e">
        <f>SQRT(SUM(AC49:AC52))</f>
        <v>#VALUE!</v>
      </c>
      <c r="AC53" s="597"/>
      <c r="AD53" s="129" t="s">
        <v>291</v>
      </c>
      <c r="AE53" s="593" t="s">
        <v>155</v>
      </c>
      <c r="AF53" s="594"/>
      <c r="AG53" s="594"/>
      <c r="AH53" s="594"/>
      <c r="AI53" s="595"/>
      <c r="AJ53" s="596" t="e">
        <f>SQRT(SUM(AK49:AK52))</f>
        <v>#VALUE!</v>
      </c>
      <c r="AK53" s="597"/>
      <c r="AL53" s="129" t="s">
        <v>291</v>
      </c>
      <c r="AM53" s="593" t="s">
        <v>155</v>
      </c>
      <c r="AN53" s="594"/>
      <c r="AO53" s="594"/>
      <c r="AP53" s="594"/>
      <c r="AQ53" s="595"/>
      <c r="AR53" s="596" t="e">
        <f>SQRT(SUM(AS49:AS52))</f>
        <v>#VALUE!</v>
      </c>
      <c r="AS53" s="597"/>
      <c r="AT53" s="129" t="s">
        <v>291</v>
      </c>
      <c r="AU53" s="593" t="s">
        <v>155</v>
      </c>
      <c r="AV53" s="594"/>
      <c r="AW53" s="594"/>
      <c r="AX53" s="594"/>
      <c r="AY53" s="595"/>
      <c r="AZ53" s="596" t="e">
        <f>SQRT(SUM(BA49:BA52))</f>
        <v>#VALUE!</v>
      </c>
      <c r="BA53" s="597"/>
      <c r="BB53" s="129" t="s">
        <v>291</v>
      </c>
      <c r="BC53" s="593" t="s">
        <v>155</v>
      </c>
      <c r="BD53" s="594"/>
      <c r="BE53" s="594"/>
      <c r="BF53" s="594"/>
      <c r="BG53" s="595"/>
      <c r="BH53" s="596" t="e">
        <f>SQRT(SUM(BI49:BI52))</f>
        <v>#VALUE!</v>
      </c>
      <c r="BI53" s="597"/>
      <c r="BJ53" s="129" t="s">
        <v>291</v>
      </c>
      <c r="BK53" s="593" t="s">
        <v>155</v>
      </c>
      <c r="BL53" s="594"/>
      <c r="BM53" s="594"/>
      <c r="BN53" s="594"/>
      <c r="BO53" s="595"/>
      <c r="BP53" s="596" t="e">
        <f>SQRT(SUM(BQ49:BQ52))</f>
        <v>#VALUE!</v>
      </c>
      <c r="BQ53" s="597"/>
      <c r="BR53" s="129" t="s">
        <v>291</v>
      </c>
      <c r="BS53" s="593" t="s">
        <v>155</v>
      </c>
      <c r="BT53" s="594"/>
      <c r="BU53" s="594"/>
      <c r="BV53" s="594"/>
      <c r="BW53" s="595"/>
      <c r="BX53" s="596" t="e">
        <f>SQRT(SUM(BY49:BY52))</f>
        <v>#VALUE!</v>
      </c>
      <c r="BY53" s="597"/>
      <c r="BZ53" s="129" t="s">
        <v>291</v>
      </c>
      <c r="CA53" s="593" t="s">
        <v>155</v>
      </c>
      <c r="CB53" s="594"/>
      <c r="CC53" s="594"/>
      <c r="CD53" s="594"/>
      <c r="CE53" s="595"/>
      <c r="CF53" s="596" t="e">
        <f>SQRT(SUM(CG49:CG52))</f>
        <v>#VALUE!</v>
      </c>
      <c r="CG53" s="597"/>
      <c r="CH53" s="129" t="s">
        <v>291</v>
      </c>
      <c r="CI53" s="593" t="s">
        <v>155</v>
      </c>
      <c r="CJ53" s="594"/>
      <c r="CK53" s="594"/>
      <c r="CL53" s="594"/>
      <c r="CM53" s="595"/>
      <c r="CN53" s="596" t="e">
        <f>SQRT(SUM(CO49:CO52))</f>
        <v>#VALUE!</v>
      </c>
      <c r="CO53" s="597"/>
      <c r="CP53" s="102" t="s">
        <v>291</v>
      </c>
    </row>
    <row r="54" spans="2:94" x14ac:dyDescent="0.25">
      <c r="O54" s="678" t="s">
        <v>127</v>
      </c>
      <c r="P54" s="584"/>
      <c r="Q54" s="584"/>
      <c r="R54" s="584"/>
      <c r="S54" s="585"/>
      <c r="T54" s="586" t="e">
        <f>(T53^4)/SUMPRODUCT(U49:U52,U49:U52,1/$J$49:$J$52)</f>
        <v>#VALUE!</v>
      </c>
      <c r="U54" s="587"/>
      <c r="V54" s="126"/>
      <c r="W54" s="583" t="s">
        <v>127</v>
      </c>
      <c r="X54" s="584"/>
      <c r="Y54" s="584"/>
      <c r="Z54" s="584"/>
      <c r="AA54" s="585"/>
      <c r="AB54" s="586" t="e">
        <f>(AB53^4)/SUMPRODUCT(AC49:AC52,AC49:AC52,1/$J$49:$J$52)</f>
        <v>#VALUE!</v>
      </c>
      <c r="AC54" s="587"/>
      <c r="AD54" s="128"/>
      <c r="AE54" s="583" t="s">
        <v>127</v>
      </c>
      <c r="AF54" s="584"/>
      <c r="AG54" s="584"/>
      <c r="AH54" s="584"/>
      <c r="AI54" s="585"/>
      <c r="AJ54" s="586" t="e">
        <f>(AJ53^4)/SUMPRODUCT(AK49:AK52,AK49:AK52,1/$J$49:$J$52)</f>
        <v>#VALUE!</v>
      </c>
      <c r="AK54" s="587"/>
      <c r="AL54" s="128"/>
      <c r="AM54" s="583" t="s">
        <v>127</v>
      </c>
      <c r="AN54" s="584"/>
      <c r="AO54" s="584"/>
      <c r="AP54" s="584"/>
      <c r="AQ54" s="585"/>
      <c r="AR54" s="586" t="e">
        <f>(AR53^4)/SUMPRODUCT(AS49:AS52,AS49:AS52,1/$J$49:$J$52)</f>
        <v>#VALUE!</v>
      </c>
      <c r="AS54" s="587"/>
      <c r="AT54" s="128"/>
      <c r="AU54" s="583" t="s">
        <v>127</v>
      </c>
      <c r="AV54" s="584"/>
      <c r="AW54" s="584"/>
      <c r="AX54" s="584"/>
      <c r="AY54" s="585"/>
      <c r="AZ54" s="586" t="e">
        <f>(AZ53^4)/SUMPRODUCT(BA49:BA52,BA49:BA52,1/$J$49:$J$52)</f>
        <v>#VALUE!</v>
      </c>
      <c r="BA54" s="587"/>
      <c r="BB54" s="128"/>
      <c r="BC54" s="583" t="s">
        <v>127</v>
      </c>
      <c r="BD54" s="584"/>
      <c r="BE54" s="584"/>
      <c r="BF54" s="584"/>
      <c r="BG54" s="585"/>
      <c r="BH54" s="586" t="e">
        <f>(BH53^4)/SUMPRODUCT(BI49:BI52,BI49:BI52,1/$J$49:$J$52)</f>
        <v>#VALUE!</v>
      </c>
      <c r="BI54" s="587"/>
      <c r="BJ54" s="128"/>
      <c r="BK54" s="583" t="s">
        <v>127</v>
      </c>
      <c r="BL54" s="584"/>
      <c r="BM54" s="584"/>
      <c r="BN54" s="584"/>
      <c r="BO54" s="585"/>
      <c r="BP54" s="586" t="e">
        <f>(BP53^4)/SUMPRODUCT(BQ49:BQ52,BQ49:BQ52,1/$J$49:$J$52)</f>
        <v>#VALUE!</v>
      </c>
      <c r="BQ54" s="587"/>
      <c r="BR54" s="128"/>
      <c r="BS54" s="583" t="s">
        <v>127</v>
      </c>
      <c r="BT54" s="584"/>
      <c r="BU54" s="584"/>
      <c r="BV54" s="584"/>
      <c r="BW54" s="585"/>
      <c r="BX54" s="586" t="e">
        <f>(BX53^4)/SUMPRODUCT(BY49:BY52,BY49:BY52,1/$J$49:$J$52)</f>
        <v>#VALUE!</v>
      </c>
      <c r="BY54" s="587"/>
      <c r="BZ54" s="128"/>
      <c r="CA54" s="583" t="s">
        <v>127</v>
      </c>
      <c r="CB54" s="584"/>
      <c r="CC54" s="584"/>
      <c r="CD54" s="584"/>
      <c r="CE54" s="585"/>
      <c r="CF54" s="586" t="e">
        <f>(CF53^4)/SUMPRODUCT(CG49:CG52,CG49:CG52,1/$J$49:$J$52)</f>
        <v>#VALUE!</v>
      </c>
      <c r="CG54" s="587"/>
      <c r="CH54" s="128"/>
      <c r="CI54" s="583" t="s">
        <v>127</v>
      </c>
      <c r="CJ54" s="584"/>
      <c r="CK54" s="584"/>
      <c r="CL54" s="584"/>
      <c r="CM54" s="585"/>
      <c r="CN54" s="586" t="e">
        <f>(CN53^4)/SUMPRODUCT(CO49:CO52,CO49:CO52,1/$J$49:$J$52)</f>
        <v>#VALUE!</v>
      </c>
      <c r="CO54" s="587"/>
      <c r="CP54" s="103"/>
    </row>
    <row r="55" spans="2:94" x14ac:dyDescent="0.25">
      <c r="Q55" s="56"/>
      <c r="R55" s="56"/>
      <c r="S55" s="56"/>
      <c r="T55" s="56"/>
      <c r="U55" s="56"/>
      <c r="V55" s="56"/>
    </row>
    <row r="56" spans="2:94" x14ac:dyDescent="0.25">
      <c r="B56" s="660" t="s">
        <v>304</v>
      </c>
      <c r="C56" s="660"/>
      <c r="D56" s="660"/>
      <c r="E56" s="660"/>
      <c r="F56" s="660"/>
      <c r="G56" s="660"/>
      <c r="Q56" s="56"/>
      <c r="R56" s="56"/>
      <c r="S56" s="56"/>
      <c r="T56" s="56"/>
      <c r="U56" s="56"/>
      <c r="V56" s="56"/>
    </row>
    <row r="57" spans="2:94" x14ac:dyDescent="0.25">
      <c r="B57" s="660"/>
      <c r="C57" s="660"/>
      <c r="D57" s="660"/>
      <c r="E57" s="660"/>
      <c r="F57" s="660"/>
      <c r="G57" s="660"/>
      <c r="Q57" s="56"/>
      <c r="R57" s="56"/>
      <c r="S57" s="56"/>
      <c r="T57" s="56"/>
      <c r="U57" s="56"/>
      <c r="V57" s="56"/>
    </row>
    <row r="58" spans="2:94" x14ac:dyDescent="0.25">
      <c r="Q58" s="56"/>
      <c r="R58" s="56"/>
      <c r="S58" s="56"/>
      <c r="T58" s="56"/>
      <c r="U58" s="56"/>
      <c r="V58" s="56"/>
    </row>
    <row r="59" spans="2:94" ht="18" customHeight="1" x14ac:dyDescent="0.25">
      <c r="B59" s="537" t="s">
        <v>130</v>
      </c>
      <c r="C59" s="505"/>
      <c r="D59" s="505"/>
      <c r="E59" s="505"/>
      <c r="F59" s="505"/>
      <c r="G59" s="505"/>
      <c r="H59" s="505"/>
      <c r="I59" s="505"/>
      <c r="J59" s="505"/>
      <c r="K59" s="505"/>
      <c r="L59" s="505"/>
      <c r="M59" s="505"/>
      <c r="N59" s="598"/>
      <c r="O59" s="504" t="s">
        <v>135</v>
      </c>
      <c r="P59" s="505"/>
      <c r="Q59" s="505"/>
      <c r="R59" s="505"/>
      <c r="S59" s="505"/>
      <c r="T59" s="505"/>
      <c r="U59" s="505"/>
      <c r="V59" s="598"/>
      <c r="W59" s="507" t="s">
        <v>159</v>
      </c>
      <c r="X59" s="508"/>
      <c r="Y59" s="508"/>
      <c r="Z59" s="508"/>
      <c r="AA59" s="508"/>
      <c r="AB59" s="508"/>
      <c r="AC59" s="508"/>
      <c r="AD59" s="659"/>
      <c r="AE59" s="507" t="s">
        <v>160</v>
      </c>
      <c r="AF59" s="508"/>
      <c r="AG59" s="508"/>
      <c r="AH59" s="508"/>
      <c r="AI59" s="508"/>
      <c r="AJ59" s="508"/>
      <c r="AK59" s="508"/>
      <c r="AL59" s="659"/>
      <c r="AM59" s="507" t="s">
        <v>161</v>
      </c>
      <c r="AN59" s="508"/>
      <c r="AO59" s="508"/>
      <c r="AP59" s="508"/>
      <c r="AQ59" s="508"/>
      <c r="AR59" s="508"/>
      <c r="AS59" s="508"/>
      <c r="AT59" s="659"/>
      <c r="AU59" s="507" t="s">
        <v>162</v>
      </c>
      <c r="AV59" s="508"/>
      <c r="AW59" s="508"/>
      <c r="AX59" s="508"/>
      <c r="AY59" s="508"/>
      <c r="AZ59" s="508"/>
      <c r="BA59" s="508"/>
      <c r="BB59" s="659"/>
      <c r="BC59" s="507" t="s">
        <v>163</v>
      </c>
      <c r="BD59" s="508"/>
      <c r="BE59" s="508"/>
      <c r="BF59" s="508"/>
      <c r="BG59" s="508"/>
      <c r="BH59" s="508"/>
      <c r="BI59" s="508"/>
      <c r="BJ59" s="659"/>
      <c r="BK59" s="507" t="s">
        <v>164</v>
      </c>
      <c r="BL59" s="508"/>
      <c r="BM59" s="508"/>
      <c r="BN59" s="508"/>
      <c r="BO59" s="508"/>
      <c r="BP59" s="508"/>
      <c r="BQ59" s="508"/>
      <c r="BR59" s="659"/>
      <c r="BS59" s="507" t="s">
        <v>165</v>
      </c>
      <c r="BT59" s="508"/>
      <c r="BU59" s="508"/>
      <c r="BV59" s="508"/>
      <c r="BW59" s="508"/>
      <c r="BX59" s="508"/>
      <c r="BY59" s="508"/>
      <c r="BZ59" s="659"/>
      <c r="CA59" s="507" t="s">
        <v>166</v>
      </c>
      <c r="CB59" s="508"/>
      <c r="CC59" s="508"/>
      <c r="CD59" s="508"/>
      <c r="CE59" s="508"/>
      <c r="CF59" s="508"/>
      <c r="CG59" s="508"/>
      <c r="CH59" s="659"/>
      <c r="CI59" s="507" t="s">
        <v>167</v>
      </c>
      <c r="CJ59" s="508"/>
      <c r="CK59" s="508"/>
      <c r="CL59" s="508"/>
      <c r="CM59" s="508"/>
      <c r="CN59" s="508"/>
      <c r="CO59" s="508"/>
      <c r="CP59" s="509"/>
    </row>
    <row r="60" spans="2:94" ht="18" customHeight="1" x14ac:dyDescent="0.25">
      <c r="B60" s="682"/>
      <c r="C60" s="511"/>
      <c r="D60" s="511"/>
      <c r="E60" s="511"/>
      <c r="F60" s="511"/>
      <c r="G60" s="511"/>
      <c r="H60" s="511"/>
      <c r="I60" s="511"/>
      <c r="J60" s="511"/>
      <c r="K60" s="511"/>
      <c r="L60" s="511"/>
      <c r="M60" s="511"/>
      <c r="N60" s="532"/>
      <c r="O60" s="510"/>
      <c r="P60" s="511"/>
      <c r="Q60" s="511"/>
      <c r="R60" s="511"/>
      <c r="S60" s="511"/>
      <c r="T60" s="511"/>
      <c r="U60" s="511"/>
      <c r="V60" s="532"/>
      <c r="W60" s="510"/>
      <c r="X60" s="511"/>
      <c r="Y60" s="511"/>
      <c r="Z60" s="511"/>
      <c r="AA60" s="511"/>
      <c r="AB60" s="511"/>
      <c r="AC60" s="511"/>
      <c r="AD60" s="532"/>
      <c r="AE60" s="510"/>
      <c r="AF60" s="511"/>
      <c r="AG60" s="511"/>
      <c r="AH60" s="511"/>
      <c r="AI60" s="511"/>
      <c r="AJ60" s="511"/>
      <c r="AK60" s="511"/>
      <c r="AL60" s="532"/>
      <c r="AM60" s="510"/>
      <c r="AN60" s="511"/>
      <c r="AO60" s="511"/>
      <c r="AP60" s="511"/>
      <c r="AQ60" s="511"/>
      <c r="AR60" s="511"/>
      <c r="AS60" s="511"/>
      <c r="AT60" s="532"/>
      <c r="AU60" s="510"/>
      <c r="AV60" s="511"/>
      <c r="AW60" s="511"/>
      <c r="AX60" s="511"/>
      <c r="AY60" s="511"/>
      <c r="AZ60" s="511"/>
      <c r="BA60" s="511"/>
      <c r="BB60" s="532"/>
      <c r="BC60" s="510"/>
      <c r="BD60" s="511"/>
      <c r="BE60" s="511"/>
      <c r="BF60" s="511"/>
      <c r="BG60" s="511"/>
      <c r="BH60" s="511"/>
      <c r="BI60" s="511"/>
      <c r="BJ60" s="532"/>
      <c r="BK60" s="510"/>
      <c r="BL60" s="511"/>
      <c r="BM60" s="511"/>
      <c r="BN60" s="511"/>
      <c r="BO60" s="511"/>
      <c r="BP60" s="511"/>
      <c r="BQ60" s="511"/>
      <c r="BR60" s="532"/>
      <c r="BS60" s="510"/>
      <c r="BT60" s="511"/>
      <c r="BU60" s="511"/>
      <c r="BV60" s="511"/>
      <c r="BW60" s="511"/>
      <c r="BX60" s="511"/>
      <c r="BY60" s="511"/>
      <c r="BZ60" s="532"/>
      <c r="CA60" s="510"/>
      <c r="CB60" s="511"/>
      <c r="CC60" s="511"/>
      <c r="CD60" s="511"/>
      <c r="CE60" s="511"/>
      <c r="CF60" s="511"/>
      <c r="CG60" s="511"/>
      <c r="CH60" s="532"/>
      <c r="CI60" s="510"/>
      <c r="CJ60" s="511"/>
      <c r="CK60" s="511"/>
      <c r="CL60" s="511"/>
      <c r="CM60" s="511"/>
      <c r="CN60" s="511"/>
      <c r="CO60" s="511"/>
      <c r="CP60" s="512"/>
    </row>
    <row r="61" spans="2:94" ht="18" customHeight="1" x14ac:dyDescent="0.25">
      <c r="B61" s="502" t="s">
        <v>138</v>
      </c>
      <c r="C61" s="515"/>
      <c r="D61" s="515"/>
      <c r="E61" s="515" t="s">
        <v>129</v>
      </c>
      <c r="F61" s="515"/>
      <c r="G61" s="515"/>
      <c r="H61" s="515" t="s">
        <v>126</v>
      </c>
      <c r="I61" s="515" t="s">
        <v>139</v>
      </c>
      <c r="J61" s="515" t="s">
        <v>128</v>
      </c>
      <c r="K61" s="515" t="s">
        <v>131</v>
      </c>
      <c r="L61" s="515"/>
      <c r="M61" s="515"/>
      <c r="N61" s="515"/>
      <c r="O61" s="589" t="s">
        <v>133</v>
      </c>
      <c r="P61" s="589"/>
      <c r="Q61" s="589" t="s">
        <v>132</v>
      </c>
      <c r="R61" s="589"/>
      <c r="S61" s="589" t="s">
        <v>154</v>
      </c>
      <c r="T61" s="589"/>
      <c r="U61" s="589" t="s">
        <v>134</v>
      </c>
      <c r="V61" s="589"/>
      <c r="W61" s="589" t="s">
        <v>133</v>
      </c>
      <c r="X61" s="589"/>
      <c r="Y61" s="589" t="s">
        <v>132</v>
      </c>
      <c r="Z61" s="589"/>
      <c r="AA61" s="589" t="s">
        <v>154</v>
      </c>
      <c r="AB61" s="589"/>
      <c r="AC61" s="589" t="s">
        <v>134</v>
      </c>
      <c r="AD61" s="589"/>
      <c r="AE61" s="589" t="s">
        <v>133</v>
      </c>
      <c r="AF61" s="589"/>
      <c r="AG61" s="589" t="s">
        <v>132</v>
      </c>
      <c r="AH61" s="589"/>
      <c r="AI61" s="589" t="s">
        <v>154</v>
      </c>
      <c r="AJ61" s="589"/>
      <c r="AK61" s="589" t="s">
        <v>134</v>
      </c>
      <c r="AL61" s="589"/>
      <c r="AM61" s="589" t="s">
        <v>133</v>
      </c>
      <c r="AN61" s="589"/>
      <c r="AO61" s="589" t="s">
        <v>132</v>
      </c>
      <c r="AP61" s="589"/>
      <c r="AQ61" s="589" t="s">
        <v>154</v>
      </c>
      <c r="AR61" s="589"/>
      <c r="AS61" s="589" t="s">
        <v>134</v>
      </c>
      <c r="AT61" s="589"/>
      <c r="AU61" s="589" t="s">
        <v>133</v>
      </c>
      <c r="AV61" s="589"/>
      <c r="AW61" s="589" t="s">
        <v>132</v>
      </c>
      <c r="AX61" s="589"/>
      <c r="AY61" s="589" t="s">
        <v>154</v>
      </c>
      <c r="AZ61" s="589"/>
      <c r="BA61" s="589" t="s">
        <v>134</v>
      </c>
      <c r="BB61" s="589"/>
      <c r="BC61" s="589" t="s">
        <v>133</v>
      </c>
      <c r="BD61" s="589"/>
      <c r="BE61" s="589" t="s">
        <v>132</v>
      </c>
      <c r="BF61" s="589"/>
      <c r="BG61" s="589" t="s">
        <v>154</v>
      </c>
      <c r="BH61" s="589"/>
      <c r="BI61" s="589" t="s">
        <v>134</v>
      </c>
      <c r="BJ61" s="589"/>
      <c r="BK61" s="589" t="s">
        <v>133</v>
      </c>
      <c r="BL61" s="589"/>
      <c r="BM61" s="589" t="s">
        <v>132</v>
      </c>
      <c r="BN61" s="589"/>
      <c r="BO61" s="589" t="s">
        <v>154</v>
      </c>
      <c r="BP61" s="589"/>
      <c r="BQ61" s="589" t="s">
        <v>134</v>
      </c>
      <c r="BR61" s="589"/>
      <c r="BS61" s="589" t="s">
        <v>133</v>
      </c>
      <c r="BT61" s="589"/>
      <c r="BU61" s="589" t="s">
        <v>132</v>
      </c>
      <c r="BV61" s="589"/>
      <c r="BW61" s="589" t="s">
        <v>154</v>
      </c>
      <c r="BX61" s="589"/>
      <c r="BY61" s="589" t="s">
        <v>134</v>
      </c>
      <c r="BZ61" s="589"/>
      <c r="CA61" s="589" t="s">
        <v>133</v>
      </c>
      <c r="CB61" s="589"/>
      <c r="CC61" s="589" t="s">
        <v>132</v>
      </c>
      <c r="CD61" s="589"/>
      <c r="CE61" s="589" t="s">
        <v>154</v>
      </c>
      <c r="CF61" s="589"/>
      <c r="CG61" s="589" t="s">
        <v>134</v>
      </c>
      <c r="CH61" s="589"/>
      <c r="CI61" s="589" t="s">
        <v>133</v>
      </c>
      <c r="CJ61" s="589"/>
      <c r="CK61" s="589" t="s">
        <v>132</v>
      </c>
      <c r="CL61" s="589"/>
      <c r="CM61" s="589" t="s">
        <v>154</v>
      </c>
      <c r="CN61" s="589"/>
      <c r="CO61" s="589" t="s">
        <v>134</v>
      </c>
      <c r="CP61" s="590"/>
    </row>
    <row r="62" spans="2:94" ht="18" customHeight="1" x14ac:dyDescent="0.25">
      <c r="B62" s="502"/>
      <c r="C62" s="515"/>
      <c r="D62" s="515"/>
      <c r="E62" s="515"/>
      <c r="F62" s="515"/>
      <c r="G62" s="515"/>
      <c r="H62" s="515"/>
      <c r="I62" s="515"/>
      <c r="J62" s="515"/>
      <c r="K62" s="515"/>
      <c r="L62" s="515"/>
      <c r="M62" s="515"/>
      <c r="N62" s="515"/>
      <c r="O62" s="93" t="s">
        <v>136</v>
      </c>
      <c r="P62" s="93" t="s">
        <v>137</v>
      </c>
      <c r="Q62" s="93" t="s">
        <v>136</v>
      </c>
      <c r="R62" s="93" t="s">
        <v>137</v>
      </c>
      <c r="S62" s="93" t="s">
        <v>136</v>
      </c>
      <c r="T62" s="93" t="s">
        <v>137</v>
      </c>
      <c r="U62" s="93" t="s">
        <v>136</v>
      </c>
      <c r="V62" s="93" t="s">
        <v>137</v>
      </c>
      <c r="W62" s="93" t="s">
        <v>136</v>
      </c>
      <c r="X62" s="93" t="s">
        <v>137</v>
      </c>
      <c r="Y62" s="93" t="s">
        <v>136</v>
      </c>
      <c r="Z62" s="93" t="s">
        <v>137</v>
      </c>
      <c r="AA62" s="93" t="s">
        <v>136</v>
      </c>
      <c r="AB62" s="93" t="s">
        <v>137</v>
      </c>
      <c r="AC62" s="93" t="s">
        <v>136</v>
      </c>
      <c r="AD62" s="93" t="s">
        <v>137</v>
      </c>
      <c r="AE62" s="93" t="s">
        <v>136</v>
      </c>
      <c r="AF62" s="93" t="s">
        <v>137</v>
      </c>
      <c r="AG62" s="93" t="s">
        <v>136</v>
      </c>
      <c r="AH62" s="93" t="s">
        <v>137</v>
      </c>
      <c r="AI62" s="93" t="s">
        <v>136</v>
      </c>
      <c r="AJ62" s="93" t="s">
        <v>137</v>
      </c>
      <c r="AK62" s="93" t="s">
        <v>136</v>
      </c>
      <c r="AL62" s="93" t="s">
        <v>137</v>
      </c>
      <c r="AM62" s="93" t="s">
        <v>136</v>
      </c>
      <c r="AN62" s="93" t="s">
        <v>137</v>
      </c>
      <c r="AO62" s="93" t="s">
        <v>136</v>
      </c>
      <c r="AP62" s="93" t="s">
        <v>137</v>
      </c>
      <c r="AQ62" s="93" t="s">
        <v>136</v>
      </c>
      <c r="AR62" s="93" t="s">
        <v>137</v>
      </c>
      <c r="AS62" s="93" t="s">
        <v>136</v>
      </c>
      <c r="AT62" s="93" t="s">
        <v>137</v>
      </c>
      <c r="AU62" s="93" t="s">
        <v>136</v>
      </c>
      <c r="AV62" s="93" t="s">
        <v>137</v>
      </c>
      <c r="AW62" s="93" t="s">
        <v>136</v>
      </c>
      <c r="AX62" s="93" t="s">
        <v>137</v>
      </c>
      <c r="AY62" s="93" t="s">
        <v>136</v>
      </c>
      <c r="AZ62" s="93" t="s">
        <v>137</v>
      </c>
      <c r="BA62" s="93" t="s">
        <v>136</v>
      </c>
      <c r="BB62" s="93" t="s">
        <v>137</v>
      </c>
      <c r="BC62" s="93" t="s">
        <v>136</v>
      </c>
      <c r="BD62" s="93" t="s">
        <v>137</v>
      </c>
      <c r="BE62" s="93" t="s">
        <v>136</v>
      </c>
      <c r="BF62" s="93" t="s">
        <v>137</v>
      </c>
      <c r="BG62" s="93" t="s">
        <v>136</v>
      </c>
      <c r="BH62" s="93" t="s">
        <v>137</v>
      </c>
      <c r="BI62" s="93" t="s">
        <v>136</v>
      </c>
      <c r="BJ62" s="93" t="s">
        <v>137</v>
      </c>
      <c r="BK62" s="93" t="s">
        <v>136</v>
      </c>
      <c r="BL62" s="93" t="s">
        <v>137</v>
      </c>
      <c r="BM62" s="93" t="s">
        <v>136</v>
      </c>
      <c r="BN62" s="93" t="s">
        <v>137</v>
      </c>
      <c r="BO62" s="93" t="s">
        <v>136</v>
      </c>
      <c r="BP62" s="93" t="s">
        <v>137</v>
      </c>
      <c r="BQ62" s="93" t="s">
        <v>136</v>
      </c>
      <c r="BR62" s="93" t="s">
        <v>137</v>
      </c>
      <c r="BS62" s="93" t="s">
        <v>136</v>
      </c>
      <c r="BT62" s="93" t="s">
        <v>137</v>
      </c>
      <c r="BU62" s="93" t="s">
        <v>136</v>
      </c>
      <c r="BV62" s="93" t="s">
        <v>137</v>
      </c>
      <c r="BW62" s="93" t="s">
        <v>136</v>
      </c>
      <c r="BX62" s="93" t="s">
        <v>137</v>
      </c>
      <c r="BY62" s="93" t="s">
        <v>136</v>
      </c>
      <c r="BZ62" s="93" t="s">
        <v>137</v>
      </c>
      <c r="CA62" s="93" t="s">
        <v>136</v>
      </c>
      <c r="CB62" s="93" t="s">
        <v>137</v>
      </c>
      <c r="CC62" s="93" t="s">
        <v>136</v>
      </c>
      <c r="CD62" s="93" t="s">
        <v>137</v>
      </c>
      <c r="CE62" s="93" t="s">
        <v>136</v>
      </c>
      <c r="CF62" s="93" t="s">
        <v>137</v>
      </c>
      <c r="CG62" s="93" t="s">
        <v>136</v>
      </c>
      <c r="CH62" s="93" t="s">
        <v>137</v>
      </c>
      <c r="CI62" s="93" t="s">
        <v>136</v>
      </c>
      <c r="CJ62" s="93" t="s">
        <v>137</v>
      </c>
      <c r="CK62" s="93" t="s">
        <v>136</v>
      </c>
      <c r="CL62" s="93" t="s">
        <v>137</v>
      </c>
      <c r="CM62" s="93" t="s">
        <v>136</v>
      </c>
      <c r="CN62" s="93" t="s">
        <v>137</v>
      </c>
      <c r="CO62" s="93" t="s">
        <v>136</v>
      </c>
      <c r="CP62" s="94" t="s">
        <v>137</v>
      </c>
    </row>
    <row r="63" spans="2:94" ht="18" customHeight="1" x14ac:dyDescent="0.25">
      <c r="B63" s="667" t="s">
        <v>309</v>
      </c>
      <c r="C63" s="668"/>
      <c r="D63" s="670" t="s">
        <v>319</v>
      </c>
      <c r="E63" s="670"/>
      <c r="F63" s="670"/>
      <c r="G63" s="606"/>
      <c r="H63" s="29" t="s">
        <v>140</v>
      </c>
      <c r="I63" s="29" t="s">
        <v>141</v>
      </c>
      <c r="J63" s="29">
        <v>50</v>
      </c>
      <c r="K63" s="608" t="s">
        <v>142</v>
      </c>
      <c r="L63" s="608"/>
      <c r="M63" s="608"/>
      <c r="N63" s="608"/>
      <c r="O63" s="687">
        <v>1</v>
      </c>
      <c r="P63" s="651">
        <v>1</v>
      </c>
      <c r="Q63" s="130" t="e">
        <f>'Información general'!H69/SQRT(12)</f>
        <v>#N/A</v>
      </c>
      <c r="R63" s="61" t="s">
        <v>196</v>
      </c>
      <c r="S63" s="130" t="e">
        <f>O63*Q63</f>
        <v>#N/A</v>
      </c>
      <c r="T63" s="61" t="s">
        <v>196</v>
      </c>
      <c r="U63" s="131" t="e">
        <f>S63*S63/IF('Información general'!$L$42&lt;=0.25%,6,4)</f>
        <v>#N/A</v>
      </c>
      <c r="V63" s="61" t="s">
        <v>318</v>
      </c>
      <c r="W63" s="687">
        <v>1</v>
      </c>
      <c r="X63" s="651">
        <v>1</v>
      </c>
      <c r="Y63" s="130" t="e">
        <f>'Información general'!H69/SQRT(12)</f>
        <v>#N/A</v>
      </c>
      <c r="Z63" s="61" t="s">
        <v>196</v>
      </c>
      <c r="AA63" s="130" t="e">
        <f>W63*Y63</f>
        <v>#N/A</v>
      </c>
      <c r="AB63" s="61" t="s">
        <v>196</v>
      </c>
      <c r="AC63" s="131" t="e">
        <f>AA63*AA63/IF('Información general'!$L$42&lt;=0.25%,6,4)</f>
        <v>#N/A</v>
      </c>
      <c r="AD63" s="61" t="s">
        <v>318</v>
      </c>
      <c r="AE63" s="649">
        <v>1</v>
      </c>
      <c r="AF63" s="651">
        <v>1</v>
      </c>
      <c r="AG63" s="130" t="e">
        <f>'Información general'!H69/SQRT(12)</f>
        <v>#N/A</v>
      </c>
      <c r="AH63" s="61" t="s">
        <v>196</v>
      </c>
      <c r="AI63" s="130" t="e">
        <f>AE63*AG63</f>
        <v>#N/A</v>
      </c>
      <c r="AJ63" s="61" t="s">
        <v>196</v>
      </c>
      <c r="AK63" s="131" t="e">
        <f>AI63*AI63/IF('Información general'!$L$42&lt;=0.25%,6,4)</f>
        <v>#N/A</v>
      </c>
      <c r="AL63" s="61" t="s">
        <v>318</v>
      </c>
      <c r="AM63" s="649">
        <v>1</v>
      </c>
      <c r="AN63" s="651">
        <v>1</v>
      </c>
      <c r="AO63" s="130" t="e">
        <f>'Información general'!H69/SQRT(12)</f>
        <v>#N/A</v>
      </c>
      <c r="AP63" s="61" t="s">
        <v>196</v>
      </c>
      <c r="AQ63" s="130" t="e">
        <f>AM63*AO63</f>
        <v>#N/A</v>
      </c>
      <c r="AR63" s="61" t="s">
        <v>196</v>
      </c>
      <c r="AS63" s="131" t="e">
        <f>AQ63*AQ63/IF('Información general'!$L$42&lt;=0.25%,6,4)</f>
        <v>#N/A</v>
      </c>
      <c r="AT63" s="61" t="s">
        <v>318</v>
      </c>
      <c r="AU63" s="649">
        <v>1</v>
      </c>
      <c r="AV63" s="651">
        <v>1</v>
      </c>
      <c r="AW63" s="130" t="e">
        <f>'Información general'!H69/SQRT(12)</f>
        <v>#N/A</v>
      </c>
      <c r="AX63" s="61" t="s">
        <v>196</v>
      </c>
      <c r="AY63" s="130" t="e">
        <f>AU63*AW63</f>
        <v>#N/A</v>
      </c>
      <c r="AZ63" s="61" t="s">
        <v>196</v>
      </c>
      <c r="BA63" s="131" t="e">
        <f>AY63*AY63/IF('Información general'!$L$42&lt;=0.25%,6,4)</f>
        <v>#N/A</v>
      </c>
      <c r="BB63" s="61" t="s">
        <v>318</v>
      </c>
      <c r="BC63" s="649">
        <v>1</v>
      </c>
      <c r="BD63" s="651">
        <v>1</v>
      </c>
      <c r="BE63" s="130" t="e">
        <f>'Información general'!H69/SQRT(12)</f>
        <v>#N/A</v>
      </c>
      <c r="BF63" s="61" t="s">
        <v>196</v>
      </c>
      <c r="BG63" s="130" t="e">
        <f>BC63*BE63</f>
        <v>#N/A</v>
      </c>
      <c r="BH63" s="61" t="s">
        <v>196</v>
      </c>
      <c r="BI63" s="131" t="e">
        <f>BG63*BG63/IF('Información general'!$L$42&lt;=0.25%,6,4)</f>
        <v>#N/A</v>
      </c>
      <c r="BJ63" s="61" t="s">
        <v>318</v>
      </c>
      <c r="BK63" s="649">
        <v>1</v>
      </c>
      <c r="BL63" s="651">
        <v>1</v>
      </c>
      <c r="BM63" s="130" t="e">
        <f>'Información general'!H69/SQRT(12)</f>
        <v>#N/A</v>
      </c>
      <c r="BN63" s="61" t="s">
        <v>196</v>
      </c>
      <c r="BO63" s="130" t="e">
        <f>BK63*BM63</f>
        <v>#N/A</v>
      </c>
      <c r="BP63" s="61" t="s">
        <v>196</v>
      </c>
      <c r="BQ63" s="131" t="e">
        <f>BO63*BO63/IF('Información general'!$L$42&lt;=0.25%,6,4)</f>
        <v>#N/A</v>
      </c>
      <c r="BR63" s="61" t="s">
        <v>318</v>
      </c>
      <c r="BS63" s="649">
        <v>1</v>
      </c>
      <c r="BT63" s="651">
        <v>1</v>
      </c>
      <c r="BU63" s="130" t="e">
        <f>'Información general'!H69/SQRT(12)</f>
        <v>#N/A</v>
      </c>
      <c r="BV63" s="61" t="s">
        <v>196</v>
      </c>
      <c r="BW63" s="130" t="e">
        <f>BS63*BU63</f>
        <v>#N/A</v>
      </c>
      <c r="BX63" s="61" t="s">
        <v>196</v>
      </c>
      <c r="BY63" s="131" t="e">
        <f>BW63*BW63/IF('Información general'!$L$42&lt;=0.25%,6,4)</f>
        <v>#N/A</v>
      </c>
      <c r="BZ63" s="61" t="s">
        <v>318</v>
      </c>
      <c r="CA63" s="649">
        <v>1</v>
      </c>
      <c r="CB63" s="651">
        <v>1</v>
      </c>
      <c r="CC63" s="130" t="e">
        <f>'Información general'!H69/SQRT(12)</f>
        <v>#N/A</v>
      </c>
      <c r="CD63" s="61" t="s">
        <v>196</v>
      </c>
      <c r="CE63" s="130" t="e">
        <f>CA63*CC63</f>
        <v>#N/A</v>
      </c>
      <c r="CF63" s="61" t="s">
        <v>196</v>
      </c>
      <c r="CG63" s="131" t="e">
        <f>CE63*CE63/IF('Información general'!$L$42&lt;=0.25%,6,4)</f>
        <v>#N/A</v>
      </c>
      <c r="CH63" s="61" t="s">
        <v>318</v>
      </c>
      <c r="CI63" s="649">
        <v>1</v>
      </c>
      <c r="CJ63" s="651">
        <v>1</v>
      </c>
      <c r="CK63" s="130" t="e">
        <f>'Información general'!H69/SQRT(12)</f>
        <v>#N/A</v>
      </c>
      <c r="CL63" s="61" t="s">
        <v>196</v>
      </c>
      <c r="CM63" s="130" t="e">
        <f>CI63*CK63</f>
        <v>#N/A</v>
      </c>
      <c r="CN63" s="61" t="s">
        <v>196</v>
      </c>
      <c r="CO63" s="131" t="e">
        <f>CM63*CM63/IF('Información general'!$L$42&lt;=0.25%,6,4)</f>
        <v>#N/A</v>
      </c>
      <c r="CP63" s="61" t="s">
        <v>318</v>
      </c>
    </row>
    <row r="64" spans="2:94" ht="18" customHeight="1" x14ac:dyDescent="0.25">
      <c r="B64" s="556"/>
      <c r="C64" s="669"/>
      <c r="D64" s="635" t="s">
        <v>191</v>
      </c>
      <c r="E64" s="611" t="s">
        <v>143</v>
      </c>
      <c r="F64" s="610"/>
      <c r="G64" s="610"/>
      <c r="H64" s="1" t="s">
        <v>146</v>
      </c>
      <c r="I64" s="1" t="s">
        <v>141</v>
      </c>
      <c r="J64" s="1">
        <v>200</v>
      </c>
      <c r="K64" s="611" t="s">
        <v>148</v>
      </c>
      <c r="L64" s="611"/>
      <c r="M64" s="611"/>
      <c r="N64" s="611"/>
      <c r="O64" s="671"/>
      <c r="P64" s="652"/>
      <c r="Q64" s="26" t="b">
        <f>IF('Información general'!$L$41&gt;=0.25%,IF('Información general'!$H$68='Equipamiento y listas'!$A$22,MAX(Corrección!F45/Corrección!G45,Corrección!F55/Corrección!G55,Corrección!F65/Corrección!G65,Corrección!F75/Corrección!G75),IF('Información general'!$H$68='Equipamiento y listas'!$A$23,MAX(Corrección!F141/Corrección!G141,Corrección!F151/Corrección!G151,Corrección!F161/Corrección!G161,Corrección!F171/Corrección!G171),IF('Información general'!$H$68='Equipamiento y listas'!$A$24,MAX(Corrección!F237/Corrección!G237,Corrección!F247/Corrección!G247,Corrección!F257/Corrección!G257,Corrección!F267/Corrección!G267)))),IF('Información general'!$H$68='Equipamiento y listas'!$A$22,MAX(Corrección!F45/Corrección!G45,Corrección!F55/Corrección!G55,Corrección!F65/Corrección!G65,Corrección!F75/Corrección!G75,Corrección!F85/Corrección!G85,Corrección!F95/Corrección!G95),IF('Información general'!$H$68='Equipamiento y listas'!$A$23,MAX(Corrección!F141/Corrección!G141,Corrección!F151/Corrección!G151,Corrección!F161/Corrección!G161,Corrección!F171/Corrección!G171,Corrección!F181/Corrección!G181,Corrección!F191/Corrección!G191),IF('Información general'!$H$68='Equipamiento y listas'!$A$24,MAX(Corrección!F237/Corrección!G237,Corrección!F247/Corrección!G247,Corrección!F257/Corrección!G257,Corrección!F267/Corrección!G267,Corrección!F277/Corrección!G277,Corrección!F287/Corrección!G287)))))</f>
        <v>0</v>
      </c>
      <c r="R64" s="1" t="s">
        <v>196</v>
      </c>
      <c r="S64" s="26">
        <f>O63*Q64</f>
        <v>0</v>
      </c>
      <c r="T64" s="1" t="s">
        <v>196</v>
      </c>
      <c r="U64" s="35">
        <f>S64*S64/IF('Información general'!$L$42&lt;=0.25%,6,4)</f>
        <v>0</v>
      </c>
      <c r="V64" s="1" t="s">
        <v>318</v>
      </c>
      <c r="W64" s="671"/>
      <c r="X64" s="652"/>
      <c r="Y64" s="26" t="b">
        <f>IF('Información general'!$L$41&gt;=0.25%,IF('Información general'!$H$68='Equipamiento y listas'!$A$22,MAX(Corrección!F46/Corrección!G46,Corrección!F56/Corrección!G56,Corrección!F66/Corrección!G66,Corrección!F76/Corrección!G76),IF('Información general'!$H$68='Equipamiento y listas'!$A$23,MAX(Corrección!F142/Corrección!G142,Corrección!F152/Corrección!G152,Corrección!F162/Corrección!G162,Corrección!F172/Corrección!G172),IF('Información general'!$H$68='Equipamiento y listas'!$A$24,MAX(Corrección!F238/Corrección!G238,Corrección!F248/Corrección!G248,Corrección!F258/Corrección!G258,Corrección!F268/Corrección!G268)))),IF('Información general'!$H$68='Equipamiento y listas'!$A$22,MAX(Corrección!F46/Corrección!G46,Corrección!F56/Corrección!G56,Corrección!F66/Corrección!G66,Corrección!F76/Corrección!G76,Corrección!F86/Corrección!G86,Corrección!F96/Corrección!G96),IF('Información general'!$H$68='Equipamiento y listas'!$A$23,MAX(Corrección!F142/Corrección!G142,Corrección!F152/Corrección!G152,Corrección!F162/Corrección!G162,Corrección!F172/Corrección!G172,Corrección!F182/Corrección!G182,Corrección!F192/Corrección!G192),IF('Información general'!$H$68='Equipamiento y listas'!$A$24,MAX(Corrección!F238/Corrección!G238,Corrección!F248/Corrección!G248,Corrección!F258/Corrección!G258,Corrección!F268/Corrección!G268,Corrección!F278/Corrección!G278,Corrección!F288/Corrección!G288)))))</f>
        <v>0</v>
      </c>
      <c r="Z64" s="1" t="s">
        <v>196</v>
      </c>
      <c r="AA64" s="26">
        <f>W63*Y64</f>
        <v>0</v>
      </c>
      <c r="AB64" s="1" t="s">
        <v>196</v>
      </c>
      <c r="AC64" s="35">
        <f>AA64*AA64/IF('Información general'!$L$42&lt;=0.25%,6,4)</f>
        <v>0</v>
      </c>
      <c r="AD64" s="1" t="s">
        <v>318</v>
      </c>
      <c r="AE64" s="650"/>
      <c r="AF64" s="652"/>
      <c r="AG64" s="26" t="b">
        <f>IF('Información general'!$L$41&gt;=0.25%,IF('Información general'!$H$68='Equipamiento y listas'!$A$22,MAX(Corrección!F47/Corrección!G47,Corrección!F57/Corrección!G57,Corrección!F67/Corrección!G67,Corrección!F77/Corrección!G77),IF('Información general'!$H$68='Equipamiento y listas'!$A$23,MAX(Corrección!F143/Corrección!G143,Corrección!F153/Corrección!G153,Corrección!F163/Corrección!G163,Corrección!F173/Corrección!G173),IF('Información general'!$H$68='Equipamiento y listas'!$A$24,MAX(Corrección!F239/Corrección!G239,Corrección!F249/Corrección!G249,Corrección!F259/Corrección!G259,Corrección!F269/Corrección!G269)))),IF('Información general'!$H$68='Equipamiento y listas'!$A$22,MAX(Corrección!F47/Corrección!G47,Corrección!F57/Corrección!G57,Corrección!F67/Corrección!G67,Corrección!F77/Corrección!G77,Corrección!F87/Corrección!G87,Corrección!F97/Corrección!G97),IF('Información general'!$H$68='Equipamiento y listas'!$A$23,MAX(Corrección!F143/Corrección!G143,Corrección!F153/Corrección!G153,Corrección!F163/Corrección!G163,Corrección!F173/Corrección!G173,Corrección!F183/Corrección!G183,Corrección!F193/Corrección!G193),IF('Información general'!$H$68='Equipamiento y listas'!$A$24,MAX(Corrección!F239/Corrección!G239,Corrección!F249/Corrección!G249,Corrección!F259/Corrección!G259,Corrección!F269/Corrección!G269,Corrección!F279/Corrección!G279,Corrección!F289/Corrección!G289)))))</f>
        <v>0</v>
      </c>
      <c r="AH64" s="1" t="s">
        <v>196</v>
      </c>
      <c r="AI64" s="26">
        <f>AE63*AG64</f>
        <v>0</v>
      </c>
      <c r="AJ64" s="1" t="s">
        <v>196</v>
      </c>
      <c r="AK64" s="35">
        <f>AI64*AI64/IF('Información general'!$L$42&lt;=0.25%,6,4)</f>
        <v>0</v>
      </c>
      <c r="AL64" s="1" t="s">
        <v>318</v>
      </c>
      <c r="AM64" s="650"/>
      <c r="AN64" s="652"/>
      <c r="AO64" s="26" t="b">
        <f>IF('Información general'!$L$41&gt;=0.25%,IF('Información general'!$H$68='Equipamiento y listas'!$A$22,MAX(Corrección!F48/Corrección!G48,Corrección!F58/Corrección!G58,Corrección!F68/Corrección!G68,Corrección!F78/Corrección!G78),IF('Información general'!$H$68='Equipamiento y listas'!$A$23,MAX(Corrección!F144/Corrección!G144,Corrección!F154/Corrección!G154,Corrección!F164/Corrección!G164,Corrección!F174/Corrección!G174),IF('Información general'!$H$68='Equipamiento y listas'!$A$24,MAX(Corrección!F240/Corrección!G240,Corrección!F250/Corrección!G250,Corrección!F260/Corrección!G260,Corrección!F270/Corrección!G270)))),IF('Información general'!$H$68='Equipamiento y listas'!$A$22,MAX(Corrección!F48/Corrección!G48,Corrección!F58/Corrección!G58,Corrección!F68/Corrección!G68,Corrección!F78/Corrección!G78,Corrección!F88/Corrección!G88,Corrección!F98/Corrección!G98),IF('Información general'!$H$68='Equipamiento y listas'!$A$23,MAX(Corrección!F144/Corrección!G144,Corrección!F154/Corrección!G154,Corrección!F164/Corrección!G164,Corrección!F174/Corrección!G174,Corrección!F184/Corrección!G184,Corrección!F194/Corrección!G194),IF('Información general'!$H$68='Equipamiento y listas'!$A$24,MAX(Corrección!F240/Corrección!G240,Corrección!F250/Corrección!G250,Corrección!F260/Corrección!G260,Corrección!F270/Corrección!G270,Corrección!F280/Corrección!G280,Corrección!F290/Corrección!G290)))))</f>
        <v>0</v>
      </c>
      <c r="AP64" s="1" t="s">
        <v>196</v>
      </c>
      <c r="AQ64" s="26">
        <f>AM63*AO64</f>
        <v>0</v>
      </c>
      <c r="AR64" s="1" t="s">
        <v>196</v>
      </c>
      <c r="AS64" s="35">
        <f>AQ64*AQ64/IF('Información general'!$L$42&lt;=0.25%,6,4)</f>
        <v>0</v>
      </c>
      <c r="AT64" s="1" t="s">
        <v>318</v>
      </c>
      <c r="AU64" s="650"/>
      <c r="AV64" s="652"/>
      <c r="AW64" s="26" t="b">
        <f>IF('Información general'!$L$41&gt;=0.25%,IF('Información general'!$H$68='Equipamiento y listas'!$A$22,MAX(Corrección!F49/Corrección!G49,Corrección!F59/Corrección!G59,Corrección!F69/Corrección!G69,Corrección!F79/Corrección!G79),IF('Información general'!$H$68='Equipamiento y listas'!$A$23,MAX(Corrección!F145/Corrección!G145,Corrección!F155/Corrección!G155,Corrección!F165/Corrección!G165,Corrección!F175/Corrección!G175),IF('Información general'!$H$68='Equipamiento y listas'!$A$24,MAX(Corrección!F241/Corrección!G241,Corrección!F251/Corrección!G251,Corrección!F261/Corrección!G261,Corrección!F271/Corrección!G271)))),IF('Información general'!$H$68='Equipamiento y listas'!$A$22,MAX(Corrección!F49/Corrección!G49,Corrección!F59/Corrección!G59,Corrección!F69/Corrección!G69,Corrección!F79/Corrección!G79,Corrección!F89/Corrección!G89,Corrección!F99/Corrección!G99),IF('Información general'!$H$68='Equipamiento y listas'!$A$23,MAX(Corrección!F145/Corrección!G145,Corrección!F155/Corrección!G155,Corrección!F165/Corrección!G165,Corrección!F175/Corrección!G175,Corrección!F185/Corrección!G185,Corrección!F195/Corrección!G195),IF('Información general'!$H$68='Equipamiento y listas'!$A$24,MAX(Corrección!F241/Corrección!G241,Corrección!F251/Corrección!G251,Corrección!F261/Corrección!G261,Corrección!F271/Corrección!G271,Corrección!F281/Corrección!G281,Corrección!F291/Corrección!G291)))))</f>
        <v>0</v>
      </c>
      <c r="AX64" s="1" t="s">
        <v>196</v>
      </c>
      <c r="AY64" s="26">
        <f>AU63*AW64</f>
        <v>0</v>
      </c>
      <c r="AZ64" s="1" t="s">
        <v>196</v>
      </c>
      <c r="BA64" s="35">
        <f>AY64*AY64/IF('Información general'!$L$42&lt;=0.25%,6,4)</f>
        <v>0</v>
      </c>
      <c r="BB64" s="1" t="s">
        <v>318</v>
      </c>
      <c r="BC64" s="650"/>
      <c r="BD64" s="652"/>
      <c r="BE64" s="26" t="b">
        <f>IF('Información general'!$L$41&gt;=0.25%,IF('Información general'!$H$68='Equipamiento y listas'!$A$22,MAX(Corrección!F50/Corrección!G50,Corrección!F60/Corrección!G60,Corrección!F70/Corrección!G70,Corrección!F80/Corrección!G80),IF('Información general'!$H$68='Equipamiento y listas'!$A$23,MAX(Corrección!F146/Corrección!G146,Corrección!F156/Corrección!G156,Corrección!F166/Corrección!G166,Corrección!F176/Corrección!G176),IF('Información general'!$H$68='Equipamiento y listas'!$A$24,MAX(Corrección!F242/Corrección!G242,Corrección!F252/Corrección!G252,Corrección!F262/Corrección!G262,Corrección!F272/Corrección!G272)))),IF('Información general'!$H$68='Equipamiento y listas'!$A$22,MAX(Corrección!F50/Corrección!G50,Corrección!F60/Corrección!G60,Corrección!F70/Corrección!G70,Corrección!F80/Corrección!G80,Corrección!F90/Corrección!G90,Corrección!F100/Corrección!G100),IF('Información general'!$H$68='Equipamiento y listas'!$A$23,MAX(Corrección!F146/Corrección!G146,Corrección!F156/Corrección!G156,Corrección!F166/Corrección!G166,Corrección!F176/Corrección!G176,Corrección!F186/Corrección!G186,Corrección!F196/Corrección!G196),IF('Información general'!$H$68='Equipamiento y listas'!$A$24,MAX(Corrección!F242/Corrección!G242,Corrección!F252/Corrección!G252,Corrección!F262/Corrección!G262,Corrección!F272/Corrección!G272,Corrección!F282/Corrección!G282,Corrección!F292/Corrección!G292)))))</f>
        <v>0</v>
      </c>
      <c r="BF64" s="1" t="s">
        <v>196</v>
      </c>
      <c r="BG64" s="26">
        <f>BC63*BE64</f>
        <v>0</v>
      </c>
      <c r="BH64" s="1" t="s">
        <v>196</v>
      </c>
      <c r="BI64" s="35">
        <f>BG64*BG64/IF('Información general'!$L$42&lt;=0.25%,6,4)</f>
        <v>0</v>
      </c>
      <c r="BJ64" s="1" t="s">
        <v>318</v>
      </c>
      <c r="BK64" s="650"/>
      <c r="BL64" s="652"/>
      <c r="BM64" s="26" t="b">
        <f>IF('Información general'!$L$41&gt;=0.25%,IF('Información general'!$H$68='Equipamiento y listas'!$A$22,MAX(Corrección!F51/Corrección!G51,Corrección!F61/Corrección!G61,Corrección!F71/Corrección!G71,Corrección!F81/Corrección!G81),IF('Información general'!$H$68='Equipamiento y listas'!$A$23,MAX(Corrección!F147/Corrección!G147,Corrección!F157/Corrección!G157,Corrección!F167/Corrección!G167,Corrección!F177/Corrección!G177),IF('Información general'!$H$68='Equipamiento y listas'!$A$24,MAX(Corrección!F243/Corrección!G243,Corrección!F253/Corrección!G253,Corrección!F263/Corrección!G263,Corrección!F273/Corrección!G273)))),IF('Información general'!$H$68='Equipamiento y listas'!$A$22,MAX(Corrección!F51/Corrección!G51,Corrección!F61/Corrección!G61,Corrección!F71/Corrección!G71,Corrección!F81/Corrección!G81,Corrección!F91/Corrección!G91,Corrección!F101/Corrección!G101),IF('Información general'!$H$68='Equipamiento y listas'!$A$23,MAX(Corrección!F147/Corrección!G147,Corrección!F157/Corrección!G157,Corrección!F167/Corrección!G167,Corrección!F177/Corrección!G177,Corrección!F187/Corrección!G187,Corrección!F197/Corrección!G197),IF('Información general'!$H$68='Equipamiento y listas'!$A$24,MAX(Corrección!F243/Corrección!G243,Corrección!F253/Corrección!G253,Corrección!F263/Corrección!G263,Corrección!F273/Corrección!G273,Corrección!F283/Corrección!G283,Corrección!F293/Corrección!G293)))))</f>
        <v>0</v>
      </c>
      <c r="BN64" s="1" t="s">
        <v>196</v>
      </c>
      <c r="BO64" s="26">
        <f>BK63*BM64</f>
        <v>0</v>
      </c>
      <c r="BP64" s="1" t="s">
        <v>196</v>
      </c>
      <c r="BQ64" s="35">
        <f>BO64*BO64/IF('Información general'!$L$42&lt;=0.25%,6,4)</f>
        <v>0</v>
      </c>
      <c r="BR64" s="1" t="s">
        <v>318</v>
      </c>
      <c r="BS64" s="650"/>
      <c r="BT64" s="652"/>
      <c r="BU64" s="26" t="b">
        <f>IF('Información general'!$L$41&gt;=0.25%,IF('Información general'!$H$68='Equipamiento y listas'!$A$22,MAX(Corrección!F52/Corrección!G52,Corrección!F62/Corrección!G62,Corrección!F72/Corrección!G72,Corrección!F82/Corrección!G82),IF('Información general'!$H$68='Equipamiento y listas'!$A$23,MAX(Corrección!F148/Corrección!G148,Corrección!F158/Corrección!G158,Corrección!F168/Corrección!G168,Corrección!F178/Corrección!G178),IF('Información general'!$H$68='Equipamiento y listas'!$A$24,MAX(Corrección!F244/Corrección!G244,Corrección!F254/Corrección!G254,Corrección!F264/Corrección!G264,Corrección!F274/Corrección!G274)))),IF('Información general'!$H$68='Equipamiento y listas'!$A$22,MAX(Corrección!F52/Corrección!G52,Corrección!F62/Corrección!G62,Corrección!F72/Corrección!G72,Corrección!F82/Corrección!G82,Corrección!F92/Corrección!G92,Corrección!F102/Corrección!G102),IF('Información general'!$H$68='Equipamiento y listas'!$A$23,MAX(Corrección!F148/Corrección!G148,Corrección!F158/Corrección!G158,Corrección!F168/Corrección!G168,Corrección!F178/Corrección!G178,Corrección!F188/Corrección!G188,Corrección!F198/Corrección!G198),IF('Información general'!$H$68='Equipamiento y listas'!$A$24,MAX(Corrección!F244/Corrección!G244,Corrección!F254/Corrección!G254,Corrección!F264/Corrección!G264,Corrección!F274/Corrección!G274,Corrección!F284/Corrección!G284,Corrección!F294/Corrección!G294)))))</f>
        <v>0</v>
      </c>
      <c r="BV64" s="1" t="s">
        <v>196</v>
      </c>
      <c r="BW64" s="26">
        <f>BS63*BU64</f>
        <v>0</v>
      </c>
      <c r="BX64" s="1" t="s">
        <v>196</v>
      </c>
      <c r="BY64" s="35">
        <f>BW64*BW64/IF('Información general'!$L$42&lt;=0.25%,6,4)</f>
        <v>0</v>
      </c>
      <c r="BZ64" s="1" t="s">
        <v>318</v>
      </c>
      <c r="CA64" s="650"/>
      <c r="CB64" s="652"/>
      <c r="CC64" s="26" t="b">
        <f>IF('Información general'!$L$41&gt;=0.25%,IF('Información general'!$H$68='Equipamiento y listas'!$A$22,MAX(Corrección!F53/Corrección!G53,Corrección!F63/Corrección!G63,Corrección!F73/Corrección!G73,Corrección!F83/Corrección!G83),IF('Información general'!$H$68='Equipamiento y listas'!$A$23,MAX(Corrección!F149/Corrección!G149,Corrección!F159/Corrección!G159,Corrección!F169/Corrección!G169,Corrección!F179/Corrección!G179),IF('Información general'!$H$68='Equipamiento y listas'!$A$24,MAX(Corrección!F245/Corrección!G245,Corrección!F255/Corrección!G255,Corrección!F265/Corrección!G265,Corrección!F275/Corrección!G275)))),IF('Información general'!$H$68='Equipamiento y listas'!$A$22,MAX(Corrección!F53/Corrección!G53,Corrección!F63/Corrección!G63,Corrección!F73/Corrección!G73,Corrección!F83/Corrección!G83,Corrección!F93/Corrección!G93,Corrección!F103/Corrección!G103),IF('Información general'!$H$68='Equipamiento y listas'!$A$23,MAX(Corrección!F149/Corrección!G149,Corrección!F159/Corrección!G159,Corrección!F169/Corrección!G169,Corrección!F179/Corrección!G179,Corrección!F189/Corrección!G189,Corrección!F199/Corrección!G199),IF('Información general'!$H$68='Equipamiento y listas'!$A$24,MAX(Corrección!F245/Corrección!G245,Corrección!F255/Corrección!G255,Corrección!F265/Corrección!G265,Corrección!F275/Corrección!G275,Corrección!F285/Corrección!G285,Corrección!F295/Corrección!G295)))))</f>
        <v>0</v>
      </c>
      <c r="CD64" s="1" t="s">
        <v>196</v>
      </c>
      <c r="CE64" s="26">
        <f>CA63*CC64</f>
        <v>0</v>
      </c>
      <c r="CF64" s="1" t="s">
        <v>196</v>
      </c>
      <c r="CG64" s="35">
        <f>CE64*CE64/IF('Información general'!$L$42&lt;=0.25%,6,4)</f>
        <v>0</v>
      </c>
      <c r="CH64" s="1" t="s">
        <v>318</v>
      </c>
      <c r="CI64" s="650"/>
      <c r="CJ64" s="652"/>
      <c r="CK64" s="26" t="b">
        <f>IF('Información general'!$L$41&gt;=0.25%,IF('Información general'!$H$68='Equipamiento y listas'!$A$22,MAX(Corrección!F54/Corrección!G54,Corrección!F64/Corrección!G64,Corrección!F74/Corrección!G74,Corrección!F84/Corrección!G84),IF('Información general'!$H$68='Equipamiento y listas'!$A$23,MAX(Corrección!F150/Corrección!G150,Corrección!F160/Corrección!G160,Corrección!F170/Corrección!G170,Corrección!F180/Corrección!G180),IF('Información general'!$H$68='Equipamiento y listas'!$A$24,MAX(Corrección!F246/Corrección!G246,Corrección!F256/Corrección!G256,Corrección!F266/Corrección!G266,Corrección!F276/Corrección!G276)))),IF('Información general'!$H$68='Equipamiento y listas'!$A$22,MAX(Corrección!F54/Corrección!G54,Corrección!F64/Corrección!G64,Corrección!F74/Corrección!G74,Corrección!F84/Corrección!G84,Corrección!F94/Corrección!G94,Corrección!F104/Corrección!G104),IF('Información general'!$H$68='Equipamiento y listas'!$A$23,MAX(Corrección!F150/Corrección!G150,Corrección!F160/Corrección!G160,Corrección!F170/Corrección!G170,Corrección!F180/Corrección!G180,Corrección!F190/Corrección!G190,Corrección!F200/Corrección!G200),IF('Información general'!$H$68='Equipamiento y listas'!$A$24,MAX(Corrección!F246/Corrección!G246,Corrección!F256/Corrección!G256,Corrección!F266/Corrección!G266,Corrección!F276/Corrección!G276,Corrección!F286/Corrección!G286,Corrección!F296/Corrección!G296)))))</f>
        <v>0</v>
      </c>
      <c r="CL64" s="1" t="s">
        <v>196</v>
      </c>
      <c r="CM64" s="26">
        <f>CI63*CK64</f>
        <v>0</v>
      </c>
      <c r="CN64" s="1" t="s">
        <v>196</v>
      </c>
      <c r="CO64" s="35">
        <f>CM64*CM64/IF('Información general'!$L$42&lt;=0.25%,6,4)</f>
        <v>0</v>
      </c>
      <c r="CP64" s="1" t="s">
        <v>318</v>
      </c>
    </row>
    <row r="65" spans="2:94" ht="18" customHeight="1" x14ac:dyDescent="0.25">
      <c r="B65" s="556"/>
      <c r="C65" s="669"/>
      <c r="D65" s="635"/>
      <c r="E65" s="611" t="s">
        <v>144</v>
      </c>
      <c r="F65" s="610"/>
      <c r="G65" s="610"/>
      <c r="H65" s="1" t="s">
        <v>140</v>
      </c>
      <c r="I65" s="1" t="s">
        <v>141</v>
      </c>
      <c r="J65" s="1">
        <v>102</v>
      </c>
      <c r="K65" s="611" t="s">
        <v>312</v>
      </c>
      <c r="L65" s="611"/>
      <c r="M65" s="611"/>
      <c r="N65" s="611"/>
      <c r="O65" s="671"/>
      <c r="P65" s="652"/>
      <c r="Q65" s="26">
        <f>IF('Información general'!$H$68='Equipamiento y listas'!$A$22,MAX(Corrección!E45,Corrección!E55,Corrección!E65,Corrección!E75,Corrección!E85,Corrección!E95),IF('Información general'!$H$68='Equipamiento y listas'!$A$23,MAX(Corrección!E141,Corrección!E151,Corrección!E161,Corrección!E171,Corrección!E181,Corrección!E191),IF('Información general'!$H$68='Equipamiento y listas'!$A$24,MAX(Corrección!E237,Corrección!E247,Corrección!E257,Corrección!E267,Corrección!E277,Corrección!E287))))/SQRT(12)</f>
        <v>0</v>
      </c>
      <c r="R65" s="1" t="s">
        <v>196</v>
      </c>
      <c r="S65" s="26">
        <f>O63*Q65</f>
        <v>0</v>
      </c>
      <c r="T65" s="1" t="s">
        <v>196</v>
      </c>
      <c r="U65" s="35">
        <f>S65*S65/IF('Información general'!$L$42&lt;=0.25%,6,4)</f>
        <v>0</v>
      </c>
      <c r="V65" s="1" t="s">
        <v>318</v>
      </c>
      <c r="W65" s="671"/>
      <c r="X65" s="652"/>
      <c r="Y65" s="26">
        <f>IF('Información general'!$H$68='Equipamiento y listas'!$A$22,MAX(Corrección!E46,Corrección!E56,Corrección!E66,Corrección!E76,Corrección!E86,Corrección!E96),IF('Información general'!$H$68='Equipamiento y listas'!$A$23,MAX(Corrección!E142,Corrección!E152,Corrección!E162,Corrección!E172,Corrección!E182,Corrección!E192),IF('Información general'!$H$68='Equipamiento y listas'!$A$24,MAX(Corrección!E238,Corrección!E248,Corrección!E258,Corrección!E268,Corrección!E278,Corrección!E288))))/SQRT(12)</f>
        <v>0</v>
      </c>
      <c r="Z65" s="1" t="s">
        <v>196</v>
      </c>
      <c r="AA65" s="26">
        <f>W63*Y65</f>
        <v>0</v>
      </c>
      <c r="AB65" s="1" t="s">
        <v>196</v>
      </c>
      <c r="AC65" s="35">
        <f>AA65*AA65/IF('Información general'!$L$42&lt;=0.25%,6,4)</f>
        <v>0</v>
      </c>
      <c r="AD65" s="1" t="s">
        <v>318</v>
      </c>
      <c r="AE65" s="650"/>
      <c r="AF65" s="652"/>
      <c r="AG65" s="26">
        <f>IF('Información general'!$H$68='Equipamiento y listas'!$A$22,MAX(Corrección!E47,Corrección!E57,Corrección!E67,Corrección!E77,Corrección!E87,Corrección!E97),IF('Información general'!$H$68='Equipamiento y listas'!$A$23,MAX(Corrección!E143,Corrección!E153,Corrección!E163,Corrección!E173,Corrección!E183,Corrección!E193),IF('Información general'!$H$68='Equipamiento y listas'!$A$24,MAX(Corrección!E239,Corrección!E249,Corrección!E259,Corrección!E269,Corrección!E279,Corrección!E289))))/SQRT(12)</f>
        <v>0</v>
      </c>
      <c r="AH65" s="1" t="s">
        <v>196</v>
      </c>
      <c r="AI65" s="26">
        <f>AE63*AG65</f>
        <v>0</v>
      </c>
      <c r="AJ65" s="1" t="s">
        <v>196</v>
      </c>
      <c r="AK65" s="35">
        <f>AI65*AI65/IF('Información general'!$L$42&lt;=0.25%,6,4)</f>
        <v>0</v>
      </c>
      <c r="AL65" s="1" t="s">
        <v>318</v>
      </c>
      <c r="AM65" s="650"/>
      <c r="AN65" s="652"/>
      <c r="AO65" s="26">
        <f>IF('Información general'!$H$68='Equipamiento y listas'!$A$22,MAX(Corrección!E48,Corrección!E58,Corrección!E68,Corrección!E78,Corrección!E88,Corrección!E98),IF('Información general'!$H$68='Equipamiento y listas'!$A$23,MAX(Corrección!E144,Corrección!E154,Corrección!E164,Corrección!E174,Corrección!E184,Corrección!E194),IF('Información general'!$H$68='Equipamiento y listas'!$A$24,MAX(Corrección!E240,Corrección!E250,Corrección!E260,Corrección!E270,Corrección!E280,Corrección!E290))))/SQRT(12)</f>
        <v>0</v>
      </c>
      <c r="AP65" s="1" t="s">
        <v>196</v>
      </c>
      <c r="AQ65" s="26">
        <f>AM63*AO65</f>
        <v>0</v>
      </c>
      <c r="AR65" s="1" t="s">
        <v>196</v>
      </c>
      <c r="AS65" s="35">
        <f>AQ65*AQ65/IF('Información general'!$L$42&lt;=0.25%,6,4)</f>
        <v>0</v>
      </c>
      <c r="AT65" s="1" t="s">
        <v>318</v>
      </c>
      <c r="AU65" s="650"/>
      <c r="AV65" s="652"/>
      <c r="AW65" s="26">
        <f>IF('Información general'!$H$68='Equipamiento y listas'!$A$22,MAX(Corrección!E49,Corrección!E59,Corrección!E69,Corrección!E79,Corrección!E89,Corrección!E99),IF('Información general'!$H$68='Equipamiento y listas'!$A$23,MAX(Corrección!E145,Corrección!E155,Corrección!E165,Corrección!E175,Corrección!E185,Corrección!E195),IF('Información general'!$H$68='Equipamiento y listas'!$A$24,MAX(Corrección!E241,Corrección!E251,Corrección!E261,Corrección!E271,Corrección!E281,Corrección!E291))))/SQRT(12)</f>
        <v>0</v>
      </c>
      <c r="AX65" s="1" t="s">
        <v>196</v>
      </c>
      <c r="AY65" s="26">
        <f>AU63*AW65</f>
        <v>0</v>
      </c>
      <c r="AZ65" s="1" t="s">
        <v>196</v>
      </c>
      <c r="BA65" s="35">
        <f>AY65*AY65/IF('Información general'!$L$42&lt;=0.25%,6,4)</f>
        <v>0</v>
      </c>
      <c r="BB65" s="1" t="s">
        <v>318</v>
      </c>
      <c r="BC65" s="650"/>
      <c r="BD65" s="652"/>
      <c r="BE65" s="26">
        <f>IF('Información general'!$H$68='Equipamiento y listas'!$A$22,MAX(Corrección!E50,Corrección!E60,Corrección!E70,Corrección!E80,Corrección!E90,Corrección!E100),IF('Información general'!$H$68='Equipamiento y listas'!$A$23,MAX(Corrección!E146,Corrección!E156,Corrección!E166,Corrección!E176,Corrección!E186,Corrección!E196),IF('Información general'!$H$68='Equipamiento y listas'!$A$24,MAX(Corrección!E242,Corrección!E252,Corrección!E262,Corrección!E272,Corrección!E282,Corrección!E292))))/SQRT(12)</f>
        <v>0</v>
      </c>
      <c r="BF65" s="1" t="s">
        <v>196</v>
      </c>
      <c r="BG65" s="26">
        <f>BC63*BE65</f>
        <v>0</v>
      </c>
      <c r="BH65" s="1" t="s">
        <v>196</v>
      </c>
      <c r="BI65" s="35">
        <f>BG65*BG65/IF('Información general'!$L$42&lt;=0.25%,6,4)</f>
        <v>0</v>
      </c>
      <c r="BJ65" s="1" t="s">
        <v>318</v>
      </c>
      <c r="BK65" s="650"/>
      <c r="BL65" s="652"/>
      <c r="BM65" s="26">
        <f>IF('Información general'!$H$68='Equipamiento y listas'!$A$22,MAX(Corrección!E51,Corrección!E61,Corrección!E71,Corrección!E81,Corrección!E91,Corrección!E101),IF('Información general'!$H$68='Equipamiento y listas'!$A$23,MAX(Corrección!E147,Corrección!E157,Corrección!E167,Corrección!E177,Corrección!E187,Corrección!E197),IF('Información general'!$H$68='Equipamiento y listas'!$A$24,MAX(Corrección!E243,Corrección!E253,Corrección!E263,Corrección!E273,Corrección!E283,Corrección!E293))))/SQRT(12)</f>
        <v>0</v>
      </c>
      <c r="BN65" s="1" t="s">
        <v>196</v>
      </c>
      <c r="BO65" s="26">
        <f>BK63*BM65</f>
        <v>0</v>
      </c>
      <c r="BP65" s="1" t="s">
        <v>196</v>
      </c>
      <c r="BQ65" s="35">
        <f>BO65*BO65/IF('Información general'!$L$42&lt;=0.25%,6,4)</f>
        <v>0</v>
      </c>
      <c r="BR65" s="1" t="s">
        <v>318</v>
      </c>
      <c r="BS65" s="650"/>
      <c r="BT65" s="652"/>
      <c r="BU65" s="26">
        <f>IF('Información general'!$H$68='Equipamiento y listas'!$A$22,MAX(Corrección!E52,Corrección!E62,Corrección!E72,Corrección!E82,Corrección!E92,Corrección!E102),IF('Información general'!$H$68='Equipamiento y listas'!$A$23,MAX(Corrección!E148,Corrección!E158,Corrección!E168,Corrección!E178,Corrección!E188,Corrección!E198),IF('Información general'!$H$68='Equipamiento y listas'!$A$24,MAX(Corrección!E244,Corrección!E254,Corrección!E264,Corrección!E274,Corrección!E284,Corrección!E294))))/SQRT(12)</f>
        <v>0</v>
      </c>
      <c r="BV65" s="1" t="s">
        <v>196</v>
      </c>
      <c r="BW65" s="26">
        <f>BS63*BU65</f>
        <v>0</v>
      </c>
      <c r="BX65" s="1" t="s">
        <v>196</v>
      </c>
      <c r="BY65" s="35">
        <f>BW65*BW65/IF('Información general'!$L$42&lt;=0.25%,6,4)</f>
        <v>0</v>
      </c>
      <c r="BZ65" s="1" t="s">
        <v>318</v>
      </c>
      <c r="CA65" s="650"/>
      <c r="CB65" s="652"/>
      <c r="CC65" s="26">
        <f>IF('Información general'!$H$68='Equipamiento y listas'!$A$22,MAX(Corrección!E53,Corrección!E63,Corrección!E73,Corrección!E83,Corrección!E93,Corrección!E103),IF('Información general'!$H$68='Equipamiento y listas'!$A$23,MAX(Corrección!E149,Corrección!E159,Corrección!E169,Corrección!E179,Corrección!E189,Corrección!E199),IF('Información general'!$H$68='Equipamiento y listas'!$A$24,MAX(Corrección!E245,Corrección!E255,Corrección!E265,Corrección!E275,Corrección!E285,Corrección!E295))))/SQRT(12)</f>
        <v>0</v>
      </c>
      <c r="CD65" s="1" t="s">
        <v>196</v>
      </c>
      <c r="CE65" s="26">
        <f>CA63*CC65</f>
        <v>0</v>
      </c>
      <c r="CF65" s="1" t="s">
        <v>196</v>
      </c>
      <c r="CG65" s="35">
        <f>CE65*CE65/IF('Información general'!$L$42&lt;=0.25%,6,4)</f>
        <v>0</v>
      </c>
      <c r="CH65" s="1" t="s">
        <v>318</v>
      </c>
      <c r="CI65" s="650"/>
      <c r="CJ65" s="652"/>
      <c r="CK65" s="26">
        <f>IF('Información general'!$H$68='Equipamiento y listas'!$A$22,MAX(Corrección!E54,Corrección!E64,Corrección!E74,Corrección!E84,Corrección!E94,Corrección!E104),IF('Información general'!$H$68='Equipamiento y listas'!$A$23,MAX(Corrección!E150,Corrección!E160,Corrección!E170,Corrección!E180,Corrección!E190,Corrección!E200),IF('Información general'!$H$68='Equipamiento y listas'!$A$24,MAX(Corrección!E246,Corrección!E256,Corrección!E266,Corrección!E276,Corrección!E286,Corrección!E296))))/SQRT(12)</f>
        <v>0</v>
      </c>
      <c r="CL65" s="1" t="s">
        <v>196</v>
      </c>
      <c r="CM65" s="26">
        <f>CI63*CK65</f>
        <v>0</v>
      </c>
      <c r="CN65" s="1" t="s">
        <v>196</v>
      </c>
      <c r="CO65" s="35">
        <f>CM65*CM65/IF('Información general'!$L$42&lt;=0.25%,6,4)</f>
        <v>0</v>
      </c>
      <c r="CP65" s="1" t="s">
        <v>318</v>
      </c>
    </row>
    <row r="66" spans="2:94" ht="18" customHeight="1" x14ac:dyDescent="0.25">
      <c r="B66" s="556"/>
      <c r="C66" s="669"/>
      <c r="D66" s="635"/>
      <c r="E66" s="611" t="s">
        <v>145</v>
      </c>
      <c r="F66" s="610"/>
      <c r="G66" s="610"/>
      <c r="H66" s="1" t="s">
        <v>147</v>
      </c>
      <c r="I66" s="1" t="s">
        <v>141</v>
      </c>
      <c r="J66" s="1" t="b">
        <f>IF('Información general'!H68='Equipamiento y listas'!A22,COUNT(Corrección!C19:C31)-4,IF('Información general'!H68='Equipamiento y listas'!A23,COUNT(Corrección!C117:C127)-4,IF('Información general'!H68='Equipamiento y listas'!A24,COUNT(Corrección!C213:C223)-4)))</f>
        <v>0</v>
      </c>
      <c r="K66" s="611" t="s">
        <v>149</v>
      </c>
      <c r="L66" s="611"/>
      <c r="M66" s="611"/>
      <c r="N66" s="611"/>
      <c r="O66" s="671"/>
      <c r="P66" s="652"/>
      <c r="Q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R66" s="1" t="s">
        <v>196</v>
      </c>
      <c r="S66" s="26">
        <f>O63*Q66</f>
        <v>0</v>
      </c>
      <c r="T66" s="1" t="s">
        <v>196</v>
      </c>
      <c r="U66" s="35">
        <f>S66*S66/IF('Información general'!$L$42&lt;=0.25%,6,4)</f>
        <v>0</v>
      </c>
      <c r="V66" s="1" t="s">
        <v>318</v>
      </c>
      <c r="W66" s="671"/>
      <c r="X66" s="652"/>
      <c r="Y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Z66" s="1" t="s">
        <v>196</v>
      </c>
      <c r="AA66" s="26">
        <f>W63*Y66</f>
        <v>0</v>
      </c>
      <c r="AB66" s="1" t="s">
        <v>196</v>
      </c>
      <c r="AC66" s="35">
        <f>AA66*AA66/IF('Información general'!$L$42&lt;=0.25%,6,4)</f>
        <v>0</v>
      </c>
      <c r="AD66" s="1" t="s">
        <v>318</v>
      </c>
      <c r="AE66" s="650"/>
      <c r="AF66" s="652"/>
      <c r="AG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AH66" s="1" t="s">
        <v>196</v>
      </c>
      <c r="AI66" s="26">
        <f>AE63*AG66</f>
        <v>0</v>
      </c>
      <c r="AJ66" s="1" t="s">
        <v>196</v>
      </c>
      <c r="AK66" s="35">
        <f>AI66*AI66/IF('Información general'!$L$42&lt;=0.25%,6,4)</f>
        <v>0</v>
      </c>
      <c r="AL66" s="1" t="s">
        <v>318</v>
      </c>
      <c r="AM66" s="650"/>
      <c r="AN66" s="652"/>
      <c r="AO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AP66" s="1" t="s">
        <v>196</v>
      </c>
      <c r="AQ66" s="26">
        <f>AM63*AO66</f>
        <v>0</v>
      </c>
      <c r="AR66" s="1" t="s">
        <v>196</v>
      </c>
      <c r="AS66" s="35">
        <f>AQ66*AQ66/IF('Información general'!$L$42&lt;=0.25%,6,4)</f>
        <v>0</v>
      </c>
      <c r="AT66" s="1" t="s">
        <v>318</v>
      </c>
      <c r="AU66" s="650"/>
      <c r="AV66" s="652"/>
      <c r="AW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AX66" s="1" t="s">
        <v>196</v>
      </c>
      <c r="AY66" s="26">
        <f>AU63*AW66</f>
        <v>0</v>
      </c>
      <c r="AZ66" s="1" t="s">
        <v>196</v>
      </c>
      <c r="BA66" s="35">
        <f>AY66*AY66/IF('Información general'!$L$42&lt;=0.25%,6,4)</f>
        <v>0</v>
      </c>
      <c r="BB66" s="1" t="s">
        <v>318</v>
      </c>
      <c r="BC66" s="650"/>
      <c r="BD66" s="652"/>
      <c r="BE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BF66" s="1" t="s">
        <v>196</v>
      </c>
      <c r="BG66" s="26">
        <f>BC63*BE66</f>
        <v>0</v>
      </c>
      <c r="BH66" s="1" t="s">
        <v>196</v>
      </c>
      <c r="BI66" s="35">
        <f>BG66*BG66/IF('Información general'!$L$42&lt;=0.25%,6,4)</f>
        <v>0</v>
      </c>
      <c r="BJ66" s="1" t="s">
        <v>318</v>
      </c>
      <c r="BK66" s="650"/>
      <c r="BL66" s="652"/>
      <c r="BM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BN66" s="1" t="s">
        <v>196</v>
      </c>
      <c r="BO66" s="26">
        <f>BK63*BM66</f>
        <v>0</v>
      </c>
      <c r="BP66" s="1" t="s">
        <v>196</v>
      </c>
      <c r="BQ66" s="35">
        <f>BO66*BO66/IF('Información general'!$L$42&lt;=0.25%,6,4)</f>
        <v>0</v>
      </c>
      <c r="BR66" s="1" t="s">
        <v>318</v>
      </c>
      <c r="BS66" s="650"/>
      <c r="BT66" s="652"/>
      <c r="BU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BV66" s="1" t="s">
        <v>196</v>
      </c>
      <c r="BW66" s="26">
        <f>BS63*BU66</f>
        <v>0</v>
      </c>
      <c r="BX66" s="1" t="s">
        <v>196</v>
      </c>
      <c r="BY66" s="35">
        <f>BW66*BW66/IF('Información general'!$L$42&lt;=0.25%,6,4)</f>
        <v>0</v>
      </c>
      <c r="BZ66" s="1" t="s">
        <v>318</v>
      </c>
      <c r="CA66" s="650"/>
      <c r="CB66" s="652"/>
      <c r="CC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CD66" s="1" t="s">
        <v>196</v>
      </c>
      <c r="CE66" s="26">
        <f>CA63*CC66</f>
        <v>0</v>
      </c>
      <c r="CF66" s="1" t="s">
        <v>196</v>
      </c>
      <c r="CG66" s="35">
        <f>CE66*CE66/IF('Información general'!$L$42&lt;=0.25%,6,4)</f>
        <v>0</v>
      </c>
      <c r="CH66" s="1" t="s">
        <v>318</v>
      </c>
      <c r="CI66" s="650"/>
      <c r="CJ66" s="652"/>
      <c r="CK66" s="26" t="b">
        <f>IF('Información general'!H68='Equipamiento y listas'!A22,Corrección!F37,IF('Información general'!H68='Equipamiento y listas'!A23,Corrección!F133,IF('Información general'!H68='Equipamiento y listas'!A24,Corrección!F229)))</f>
        <v>0</v>
      </c>
      <c r="CL66" s="1" t="s">
        <v>196</v>
      </c>
      <c r="CM66" s="26">
        <f>CI63*CK66</f>
        <v>0</v>
      </c>
      <c r="CN66" s="1" t="s">
        <v>196</v>
      </c>
      <c r="CO66" s="35">
        <f>CM66*CM66/IF('Información general'!$L$42&lt;=0.25%,6,4)</f>
        <v>0</v>
      </c>
      <c r="CP66" s="1" t="s">
        <v>318</v>
      </c>
    </row>
    <row r="67" spans="2:94" ht="18" customHeight="1" x14ac:dyDescent="0.25">
      <c r="B67" s="556"/>
      <c r="C67" s="669"/>
      <c r="D67" s="607" t="s">
        <v>320</v>
      </c>
      <c r="E67" s="670"/>
      <c r="F67" s="670"/>
      <c r="G67" s="670"/>
      <c r="H67" s="29" t="s">
        <v>140</v>
      </c>
      <c r="I67" s="29" t="s">
        <v>168</v>
      </c>
      <c r="J67" s="29">
        <v>102</v>
      </c>
      <c r="K67" s="608" t="s">
        <v>150</v>
      </c>
      <c r="L67" s="608"/>
      <c r="M67" s="608"/>
      <c r="N67" s="608"/>
      <c r="O67" s="671"/>
      <c r="P67" s="652"/>
      <c r="Q67" s="26">
        <f>MAX(ABS('Toma de datos'!B75-'Toma de datos'!D75),ABS('Toma de datos'!F75-'Toma de datos'!H75),IF('Información general'!$L$42&gt;=0.25%,0,ABS('Toma de datos'!J75-'Toma de datos'!M75)))/SQRT(12)</f>
        <v>0</v>
      </c>
      <c r="R67" s="1" t="s">
        <v>196</v>
      </c>
      <c r="S67" s="26">
        <f>O63*Q67</f>
        <v>0</v>
      </c>
      <c r="T67" s="1" t="s">
        <v>196</v>
      </c>
      <c r="U67" s="35">
        <f>S67*S67/IF('Información general'!$L$42&lt;=0.25%,6,4)</f>
        <v>0</v>
      </c>
      <c r="V67" s="1" t="s">
        <v>318</v>
      </c>
      <c r="W67" s="671"/>
      <c r="X67" s="652"/>
      <c r="Y67" s="26">
        <f>MAX(ABS('Toma de datos'!B76-'Toma de datos'!D76),ABS('Toma de datos'!F76-'Toma de datos'!H76),IF('Información general'!$L$42&gt;=0.25%,0,ABS('Toma de datos'!J76-'Toma de datos'!M76)))/SQRT(12)</f>
        <v>0</v>
      </c>
      <c r="Z67" s="1" t="s">
        <v>196</v>
      </c>
      <c r="AA67" s="26">
        <f>W63*Y67</f>
        <v>0</v>
      </c>
      <c r="AB67" s="1" t="s">
        <v>196</v>
      </c>
      <c r="AC67" s="35">
        <f>AA67*AA67/IF('Información general'!$L$42&lt;=0.25%,6,4)</f>
        <v>0</v>
      </c>
      <c r="AD67" s="1" t="s">
        <v>318</v>
      </c>
      <c r="AE67" s="650"/>
      <c r="AF67" s="652"/>
      <c r="AG67" s="26">
        <f>MAX(ABS('Toma de datos'!B77-'Toma de datos'!D77),ABS('Toma de datos'!F77-'Toma de datos'!H77),IF('Información general'!$L$42&gt;=0.25%,0,ABS('Toma de datos'!J77-'Toma de datos'!M77)))/SQRT(12)</f>
        <v>0</v>
      </c>
      <c r="AH67" s="1" t="s">
        <v>196</v>
      </c>
      <c r="AI67" s="26">
        <f>AE63*AG67</f>
        <v>0</v>
      </c>
      <c r="AJ67" s="1" t="s">
        <v>196</v>
      </c>
      <c r="AK67" s="35">
        <f>AI67*AI67/IF('Información general'!$L$42&lt;=0.25%,6,4)</f>
        <v>0</v>
      </c>
      <c r="AL67" s="1" t="s">
        <v>318</v>
      </c>
      <c r="AM67" s="650"/>
      <c r="AN67" s="652"/>
      <c r="AO67" s="26">
        <f>MAX(ABS('Toma de datos'!B78-'Toma de datos'!D78),ABS('Toma de datos'!F78-'Toma de datos'!H78),IF('Información general'!$L$42&gt;=0.25%,0,ABS('Toma de datos'!J78-'Toma de datos'!M78)))/SQRT(12)</f>
        <v>0</v>
      </c>
      <c r="AP67" s="1" t="s">
        <v>196</v>
      </c>
      <c r="AQ67" s="26">
        <f>AM63*AO67</f>
        <v>0</v>
      </c>
      <c r="AR67" s="1" t="s">
        <v>196</v>
      </c>
      <c r="AS67" s="35">
        <f>AQ67*AQ67/IF('Información general'!$L$42&lt;=0.25%,6,4)</f>
        <v>0</v>
      </c>
      <c r="AT67" s="1" t="s">
        <v>318</v>
      </c>
      <c r="AU67" s="650"/>
      <c r="AV67" s="652"/>
      <c r="AW67" s="26">
        <f>MAX(ABS('Toma de datos'!B79-'Toma de datos'!D79),ABS('Toma de datos'!F79-'Toma de datos'!H79),IF('Información general'!$L$42&gt;=0.25%,0,ABS('Toma de datos'!J79-'Toma de datos'!M79)))/SQRT(12)</f>
        <v>0</v>
      </c>
      <c r="AX67" s="1" t="s">
        <v>196</v>
      </c>
      <c r="AY67" s="26">
        <f>AU63*AW67</f>
        <v>0</v>
      </c>
      <c r="AZ67" s="1" t="s">
        <v>196</v>
      </c>
      <c r="BA67" s="35">
        <f>AY67*AY67/IF('Información general'!$L$42&lt;=0.25%,6,4)</f>
        <v>0</v>
      </c>
      <c r="BB67" s="1" t="s">
        <v>318</v>
      </c>
      <c r="BC67" s="650"/>
      <c r="BD67" s="652"/>
      <c r="BE67" s="26">
        <f>MAX(ABS('Toma de datos'!B80-'Toma de datos'!D80),ABS('Toma de datos'!F80-'Toma de datos'!H80),IF('Información general'!$L$42&gt;=0.25%,0,ABS('Toma de datos'!J80-'Toma de datos'!M80)))/SQRT(12)</f>
        <v>0</v>
      </c>
      <c r="BF67" s="1" t="s">
        <v>196</v>
      </c>
      <c r="BG67" s="26">
        <f>BC63*BE67</f>
        <v>0</v>
      </c>
      <c r="BH67" s="1" t="s">
        <v>196</v>
      </c>
      <c r="BI67" s="35">
        <f>BG67*BG67/IF('Información general'!$L$42&lt;=0.25%,6,4)</f>
        <v>0</v>
      </c>
      <c r="BJ67" s="1" t="s">
        <v>318</v>
      </c>
      <c r="BK67" s="650"/>
      <c r="BL67" s="652"/>
      <c r="BM67" s="26">
        <f>MAX(ABS('Toma de datos'!B81-'Toma de datos'!D81),ABS('Toma de datos'!F81-'Toma de datos'!H81),IF('Información general'!$L$42&gt;=0.25%,0,ABS('Toma de datos'!J81-'Toma de datos'!M81)))/SQRT(12)</f>
        <v>0</v>
      </c>
      <c r="BN67" s="1" t="s">
        <v>196</v>
      </c>
      <c r="BO67" s="26">
        <f>BK63*BM67</f>
        <v>0</v>
      </c>
      <c r="BP67" s="1" t="s">
        <v>196</v>
      </c>
      <c r="BQ67" s="35">
        <f>BO67*BO67/IF('Información general'!$L$42&lt;=0.25%,6,4)</f>
        <v>0</v>
      </c>
      <c r="BR67" s="1" t="s">
        <v>318</v>
      </c>
      <c r="BS67" s="650"/>
      <c r="BT67" s="652"/>
      <c r="BU67" s="26">
        <f>MAX(ABS('Toma de datos'!B82-'Toma de datos'!D82),ABS('Toma de datos'!F82-'Toma de datos'!H82),IF('Información general'!$L$42&gt;=0.25%,0,ABS('Toma de datos'!J82-'Toma de datos'!M82)))/SQRT(12)</f>
        <v>0</v>
      </c>
      <c r="BV67" s="1" t="s">
        <v>196</v>
      </c>
      <c r="BW67" s="26">
        <f>BS63*BU67</f>
        <v>0</v>
      </c>
      <c r="BX67" s="1" t="s">
        <v>196</v>
      </c>
      <c r="BY67" s="35">
        <f>BW67*BW67/IF('Información general'!$L$42&lt;=0.25%,6,4)</f>
        <v>0</v>
      </c>
      <c r="BZ67" s="1" t="s">
        <v>318</v>
      </c>
      <c r="CA67" s="650"/>
      <c r="CB67" s="652"/>
      <c r="CC67" s="26">
        <f>MAX(ABS('Toma de datos'!B83-'Toma de datos'!D83),ABS('Toma de datos'!F83-'Toma de datos'!H83),IF('Información general'!$L$42&gt;=0.25%,0,ABS('Toma de datos'!J83-'Toma de datos'!M83)))/SQRT(12)</f>
        <v>0</v>
      </c>
      <c r="CD67" s="1" t="s">
        <v>196</v>
      </c>
      <c r="CE67" s="26">
        <f>CA63*CC67</f>
        <v>0</v>
      </c>
      <c r="CF67" s="1" t="s">
        <v>196</v>
      </c>
      <c r="CG67" s="35">
        <f>CE67*CE67/IF('Información general'!$L$42&lt;=0.25%,6,4)</f>
        <v>0</v>
      </c>
      <c r="CH67" s="1" t="s">
        <v>318</v>
      </c>
      <c r="CI67" s="650"/>
      <c r="CJ67" s="652"/>
      <c r="CK67" s="26">
        <f>MAX(ABS('Toma de datos'!B84-'Toma de datos'!D84),ABS('Toma de datos'!F84-'Toma de datos'!H84),IF('Información general'!$L$42&gt;=0.25%,0,ABS('Toma de datos'!J84-'Toma de datos'!M84)))/SQRT(12)</f>
        <v>0</v>
      </c>
      <c r="CL67" s="1" t="s">
        <v>196</v>
      </c>
      <c r="CM67" s="26">
        <f>CI63*CK67</f>
        <v>0</v>
      </c>
      <c r="CN67" s="1" t="s">
        <v>196</v>
      </c>
      <c r="CO67" s="35">
        <f>CM67*CM67/IF('Información general'!$L$42&lt;=0.25%,6,4)</f>
        <v>0</v>
      </c>
      <c r="CP67" s="1" t="s">
        <v>318</v>
      </c>
    </row>
    <row r="68" spans="2:94" ht="18" customHeight="1" x14ac:dyDescent="0.25">
      <c r="B68" s="661" t="s">
        <v>151</v>
      </c>
      <c r="C68" s="662"/>
      <c r="D68" s="630" t="s">
        <v>169</v>
      </c>
      <c r="E68" s="610" t="s">
        <v>319</v>
      </c>
      <c r="F68" s="631"/>
      <c r="G68" s="609"/>
      <c r="H68" s="1" t="s">
        <v>140</v>
      </c>
      <c r="I68" s="1" t="s">
        <v>141</v>
      </c>
      <c r="J68" s="1">
        <v>50</v>
      </c>
      <c r="K68" s="611" t="s">
        <v>142</v>
      </c>
      <c r="L68" s="611"/>
      <c r="M68" s="611"/>
      <c r="N68" s="611"/>
      <c r="O68" s="671">
        <v>-1</v>
      </c>
      <c r="P68" s="652">
        <v>1</v>
      </c>
      <c r="Q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R68" s="1" t="s">
        <v>196</v>
      </c>
      <c r="S68" s="26">
        <f>O68*Q68</f>
        <v>0</v>
      </c>
      <c r="T68" s="1" t="s">
        <v>196</v>
      </c>
      <c r="U68" s="35">
        <f>S68*S68/IF('Información general'!$L$42&lt;=0.25%,6,4)</f>
        <v>0</v>
      </c>
      <c r="V68" s="1" t="s">
        <v>318</v>
      </c>
      <c r="W68" s="671">
        <v>-1</v>
      </c>
      <c r="X68" s="652">
        <v>1</v>
      </c>
      <c r="Y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Z68" s="1" t="s">
        <v>196</v>
      </c>
      <c r="AA68" s="26">
        <f>W68*Y68</f>
        <v>0</v>
      </c>
      <c r="AB68" s="1" t="s">
        <v>196</v>
      </c>
      <c r="AC68" s="35">
        <f>AA68*AA68/IF('Información general'!$L$42&lt;=0.25%,6,4)</f>
        <v>0</v>
      </c>
      <c r="AD68" s="1" t="s">
        <v>318</v>
      </c>
      <c r="AE68" s="650">
        <v>-1</v>
      </c>
      <c r="AF68" s="652">
        <v>1</v>
      </c>
      <c r="AG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AH68" s="1" t="s">
        <v>196</v>
      </c>
      <c r="AI68" s="26">
        <f>AE68*AG68</f>
        <v>0</v>
      </c>
      <c r="AJ68" s="1" t="s">
        <v>196</v>
      </c>
      <c r="AK68" s="35">
        <f>AI68*AI68/IF('Información general'!$L$42&lt;=0.25%,6,4)</f>
        <v>0</v>
      </c>
      <c r="AL68" s="1" t="s">
        <v>318</v>
      </c>
      <c r="AM68" s="650">
        <v>-1</v>
      </c>
      <c r="AN68" s="652">
        <v>1</v>
      </c>
      <c r="AO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AP68" s="1" t="s">
        <v>196</v>
      </c>
      <c r="AQ68" s="26">
        <f>AM68*AO68</f>
        <v>0</v>
      </c>
      <c r="AR68" s="1" t="s">
        <v>196</v>
      </c>
      <c r="AS68" s="35">
        <f>AQ68*AQ68/IF('Información general'!$L$42&lt;=0.25%,6,4)</f>
        <v>0</v>
      </c>
      <c r="AT68" s="1" t="s">
        <v>318</v>
      </c>
      <c r="AU68" s="650">
        <v>-1</v>
      </c>
      <c r="AV68" s="652">
        <v>1</v>
      </c>
      <c r="AW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AX68" s="1" t="s">
        <v>196</v>
      </c>
      <c r="AY68" s="26">
        <f>AU68*AW68</f>
        <v>0</v>
      </c>
      <c r="AZ68" s="1" t="s">
        <v>196</v>
      </c>
      <c r="BA68" s="35">
        <f>AY68*AY68/IF('Información general'!$L$42&lt;=0.25%,6,4)</f>
        <v>0</v>
      </c>
      <c r="BB68" s="1" t="s">
        <v>318</v>
      </c>
      <c r="BC68" s="650">
        <v>-1</v>
      </c>
      <c r="BD68" s="652">
        <v>1</v>
      </c>
      <c r="BE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BF68" s="1" t="s">
        <v>196</v>
      </c>
      <c r="BG68" s="26">
        <f>BC68*BE68</f>
        <v>0</v>
      </c>
      <c r="BH68" s="1" t="s">
        <v>196</v>
      </c>
      <c r="BI68" s="35">
        <f>BG68*BG68/IF('Información general'!$L$42&lt;=0.25%,6,4)</f>
        <v>0</v>
      </c>
      <c r="BJ68" s="1" t="s">
        <v>318</v>
      </c>
      <c r="BK68" s="650">
        <v>-1</v>
      </c>
      <c r="BL68" s="652">
        <v>1</v>
      </c>
      <c r="BM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BN68" s="1" t="s">
        <v>196</v>
      </c>
      <c r="BO68" s="26">
        <f>BK68*BM68</f>
        <v>0</v>
      </c>
      <c r="BP68" s="1" t="s">
        <v>196</v>
      </c>
      <c r="BQ68" s="35">
        <f>BO68*BO68/IF('Información general'!$L$42&lt;=0.25%,6,4)</f>
        <v>0</v>
      </c>
      <c r="BR68" s="1" t="s">
        <v>318</v>
      </c>
      <c r="BS68" s="650">
        <v>-1</v>
      </c>
      <c r="BT68" s="652">
        <v>1</v>
      </c>
      <c r="BU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BV68" s="1" t="s">
        <v>196</v>
      </c>
      <c r="BW68" s="26">
        <f>BS68*BU68</f>
        <v>0</v>
      </c>
      <c r="BX68" s="1" t="s">
        <v>196</v>
      </c>
      <c r="BY68" s="35">
        <f>BW68*BW68/IF('Información general'!$L$42&lt;=0.25%,6,4)</f>
        <v>0</v>
      </c>
      <c r="BZ68" s="1" t="s">
        <v>318</v>
      </c>
      <c r="CA68" s="650">
        <v>-1</v>
      </c>
      <c r="CB68" s="652">
        <v>1</v>
      </c>
      <c r="CC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CD68" s="1" t="s">
        <v>196</v>
      </c>
      <c r="CE68" s="26">
        <f>CA68*CC68</f>
        <v>0</v>
      </c>
      <c r="CF68" s="1" t="s">
        <v>196</v>
      </c>
      <c r="CG68" s="35">
        <f>CE68*CE68/IF('Información general'!$L$42&lt;=0.25%,6,4)</f>
        <v>0</v>
      </c>
      <c r="CH68" s="1" t="s">
        <v>318</v>
      </c>
      <c r="CI68" s="650">
        <v>-1</v>
      </c>
      <c r="CJ68" s="652">
        <v>1</v>
      </c>
      <c r="CK68" s="26">
        <f>'Información general'!L40*LOOKUP('Información general'!N37,'Equipamiento y listas'!J36:J48,'Equipamiento y listas'!L36:L48)*LOOKUP("psi",'Equipamiento y listas'!K49:K61,'Equipamiento y listas'!L49:L61)/SQRT(12)</f>
        <v>0</v>
      </c>
      <c r="CL68" s="1" t="s">
        <v>196</v>
      </c>
      <c r="CM68" s="26">
        <f>CI68*CK68</f>
        <v>0</v>
      </c>
      <c r="CN68" s="1" t="s">
        <v>196</v>
      </c>
      <c r="CO68" s="35">
        <f>CM68*CM68/IF('Información general'!$L$42&lt;=0.25%,6,4)</f>
        <v>0</v>
      </c>
      <c r="CP68" s="1" t="s">
        <v>318</v>
      </c>
    </row>
    <row r="69" spans="2:94" ht="18" customHeight="1" x14ac:dyDescent="0.25">
      <c r="B69" s="663"/>
      <c r="C69" s="664"/>
      <c r="D69" s="606"/>
      <c r="E69" s="610" t="s">
        <v>321</v>
      </c>
      <c r="F69" s="631"/>
      <c r="G69" s="609"/>
      <c r="H69" s="1" t="s">
        <v>140</v>
      </c>
      <c r="I69" s="1" t="s">
        <v>141</v>
      </c>
      <c r="J69" s="1">
        <v>102</v>
      </c>
      <c r="K69" s="611" t="s">
        <v>313</v>
      </c>
      <c r="L69" s="611"/>
      <c r="M69" s="611"/>
      <c r="N69" s="611"/>
      <c r="O69" s="671"/>
      <c r="P69" s="652"/>
      <c r="Q69" s="26">
        <f>'Información general'!L43*ABS('Toma de datos'!E105-'Toma de datos'!E66)</f>
        <v>0</v>
      </c>
      <c r="R69" s="1" t="s">
        <v>196</v>
      </c>
      <c r="S69" s="26">
        <f>O68*Q69</f>
        <v>0</v>
      </c>
      <c r="T69" s="1" t="s">
        <v>196</v>
      </c>
      <c r="U69" s="35">
        <f>S69*S69/IF('Información general'!$L$42&lt;=0.25%,6,4)</f>
        <v>0</v>
      </c>
      <c r="V69" s="1" t="s">
        <v>318</v>
      </c>
      <c r="W69" s="671"/>
      <c r="X69" s="652"/>
      <c r="Y69" s="26">
        <f>'Información general'!L43*ABS('Toma de datos'!E105-'Toma de datos'!E66)</f>
        <v>0</v>
      </c>
      <c r="Z69" s="1" t="s">
        <v>196</v>
      </c>
      <c r="AA69" s="26">
        <f>W68*Y69</f>
        <v>0</v>
      </c>
      <c r="AB69" s="1" t="s">
        <v>196</v>
      </c>
      <c r="AC69" s="35">
        <f>AA69*AA69/IF('Información general'!$L$42&lt;=0.25%,6,4)</f>
        <v>0</v>
      </c>
      <c r="AD69" s="1" t="s">
        <v>318</v>
      </c>
      <c r="AE69" s="650"/>
      <c r="AF69" s="652"/>
      <c r="AG69" s="26">
        <f>'Información general'!L43*ABS('Toma de datos'!E105-'Toma de datos'!E66)</f>
        <v>0</v>
      </c>
      <c r="AH69" s="1" t="s">
        <v>196</v>
      </c>
      <c r="AI69" s="26">
        <f>AE68*AG69</f>
        <v>0</v>
      </c>
      <c r="AJ69" s="1" t="s">
        <v>196</v>
      </c>
      <c r="AK69" s="35">
        <f>AI69*AI69/IF('Información general'!$L$42&lt;=0.25%,6,4)</f>
        <v>0</v>
      </c>
      <c r="AL69" s="1" t="s">
        <v>318</v>
      </c>
      <c r="AM69" s="650"/>
      <c r="AN69" s="652"/>
      <c r="AO69" s="26">
        <f>'Información general'!L43*ABS('Toma de datos'!E105-'Toma de datos'!E66)</f>
        <v>0</v>
      </c>
      <c r="AP69" s="1" t="s">
        <v>196</v>
      </c>
      <c r="AQ69" s="26">
        <f>AM68*AO69</f>
        <v>0</v>
      </c>
      <c r="AR69" s="1" t="s">
        <v>196</v>
      </c>
      <c r="AS69" s="35">
        <f>AQ69*AQ69/IF('Información general'!$L$42&lt;=0.25%,6,4)</f>
        <v>0</v>
      </c>
      <c r="AT69" s="1" t="s">
        <v>318</v>
      </c>
      <c r="AU69" s="650"/>
      <c r="AV69" s="652"/>
      <c r="AW69" s="26">
        <f>'Información general'!L43*ABS('Toma de datos'!E105-'Toma de datos'!E66)</f>
        <v>0</v>
      </c>
      <c r="AX69" s="1" t="s">
        <v>196</v>
      </c>
      <c r="AY69" s="26">
        <f>AU68*AW69</f>
        <v>0</v>
      </c>
      <c r="AZ69" s="1" t="s">
        <v>196</v>
      </c>
      <c r="BA69" s="35">
        <f>AY69*AY69/IF('Información general'!$L$42&lt;=0.25%,6,4)</f>
        <v>0</v>
      </c>
      <c r="BB69" s="1" t="s">
        <v>318</v>
      </c>
      <c r="BC69" s="650"/>
      <c r="BD69" s="652"/>
      <c r="BE69" s="26">
        <f>'Información general'!L43*ABS('Toma de datos'!E105-'Toma de datos'!E66)</f>
        <v>0</v>
      </c>
      <c r="BF69" s="1" t="s">
        <v>196</v>
      </c>
      <c r="BG69" s="26">
        <f>BC68*BE69</f>
        <v>0</v>
      </c>
      <c r="BH69" s="1" t="s">
        <v>196</v>
      </c>
      <c r="BI69" s="35">
        <f>BG69*BG69/IF('Información general'!$L$42&lt;=0.25%,6,4)</f>
        <v>0</v>
      </c>
      <c r="BJ69" s="1" t="s">
        <v>318</v>
      </c>
      <c r="BK69" s="650"/>
      <c r="BL69" s="652"/>
      <c r="BM69" s="26">
        <f>'Información general'!L43*ABS('Toma de datos'!E105-'Toma de datos'!E66)</f>
        <v>0</v>
      </c>
      <c r="BN69" s="1" t="s">
        <v>196</v>
      </c>
      <c r="BO69" s="26">
        <f>BK68*BM69</f>
        <v>0</v>
      </c>
      <c r="BP69" s="1" t="s">
        <v>196</v>
      </c>
      <c r="BQ69" s="35">
        <f>BO69*BO69/IF('Información general'!$L$42&lt;=0.25%,6,4)</f>
        <v>0</v>
      </c>
      <c r="BR69" s="1" t="s">
        <v>318</v>
      </c>
      <c r="BS69" s="650"/>
      <c r="BT69" s="652"/>
      <c r="BU69" s="26">
        <f>'Información general'!L43*ABS('Toma de datos'!E105-'Toma de datos'!E66)</f>
        <v>0</v>
      </c>
      <c r="BV69" s="1" t="s">
        <v>196</v>
      </c>
      <c r="BW69" s="26">
        <f>BS68*BU69</f>
        <v>0</v>
      </c>
      <c r="BX69" s="1" t="s">
        <v>196</v>
      </c>
      <c r="BY69" s="35">
        <f>BW69*BW69/IF('Información general'!$L$42&lt;=0.25%,6,4)</f>
        <v>0</v>
      </c>
      <c r="BZ69" s="1" t="s">
        <v>318</v>
      </c>
      <c r="CA69" s="650"/>
      <c r="CB69" s="652"/>
      <c r="CC69" s="26">
        <f>'Información general'!L43*ABS('Toma de datos'!E105-'Toma de datos'!E66)</f>
        <v>0</v>
      </c>
      <c r="CD69" s="1" t="s">
        <v>196</v>
      </c>
      <c r="CE69" s="26">
        <f>CA68*CC69</f>
        <v>0</v>
      </c>
      <c r="CF69" s="1" t="s">
        <v>196</v>
      </c>
      <c r="CG69" s="35">
        <f>CE69*CE69/IF('Información general'!$L$42&lt;=0.25%,6,4)</f>
        <v>0</v>
      </c>
      <c r="CH69" s="1" t="s">
        <v>318</v>
      </c>
      <c r="CI69" s="650"/>
      <c r="CJ69" s="652"/>
      <c r="CK69" s="26">
        <f>'Información general'!L43*ABS('Toma de datos'!E105-'Toma de datos'!E66)</f>
        <v>0</v>
      </c>
      <c r="CL69" s="1" t="s">
        <v>196</v>
      </c>
      <c r="CM69" s="26">
        <f>CI68*CK69</f>
        <v>0</v>
      </c>
      <c r="CN69" s="1" t="s">
        <v>196</v>
      </c>
      <c r="CO69" s="35">
        <f>CM69*CM69/IF('Información general'!$L$42&lt;=0.25%,6,4)</f>
        <v>0</v>
      </c>
      <c r="CP69" s="1" t="s">
        <v>318</v>
      </c>
    </row>
    <row r="70" spans="2:94" ht="18" customHeight="1" x14ac:dyDescent="0.25">
      <c r="B70" s="665"/>
      <c r="C70" s="666"/>
      <c r="D70" s="607" t="s">
        <v>320</v>
      </c>
      <c r="E70" s="670"/>
      <c r="F70" s="670"/>
      <c r="G70" s="670"/>
      <c r="H70" s="29" t="s">
        <v>140</v>
      </c>
      <c r="I70" s="29" t="s">
        <v>168</v>
      </c>
      <c r="J70" s="29">
        <v>102</v>
      </c>
      <c r="K70" s="608" t="s">
        <v>150</v>
      </c>
      <c r="L70" s="608"/>
      <c r="M70" s="608"/>
      <c r="N70" s="608"/>
      <c r="O70" s="671"/>
      <c r="P70" s="652"/>
      <c r="Q70" s="26">
        <f>MAX(ABS('Toma de datos'!C75-'Toma de datos'!E75),ABS('Toma de datos'!G75-'Toma de datos'!I75),IF('Información general'!$L$42&gt;=0.25%,0,ABS('Toma de datos'!K75-'Toma de datos'!M75)))/SQRT(12)</f>
        <v>0</v>
      </c>
      <c r="R70" s="1" t="s">
        <v>196</v>
      </c>
      <c r="S70" s="26">
        <f>O68*Q70</f>
        <v>0</v>
      </c>
      <c r="T70" s="1" t="s">
        <v>196</v>
      </c>
      <c r="U70" s="35">
        <f>S70*S70/IF('Información general'!$L$42&lt;=0.25%,6,4)</f>
        <v>0</v>
      </c>
      <c r="V70" s="1" t="s">
        <v>318</v>
      </c>
      <c r="W70" s="671"/>
      <c r="X70" s="652"/>
      <c r="Y70" s="26">
        <f>MAX(ABS('Toma de datos'!C76-'Toma de datos'!E76),ABS('Toma de datos'!G76-'Toma de datos'!I76),IF('Información general'!$L$42&gt;=0.25%,0,ABS('Toma de datos'!K76-'Toma de datos'!M76)))/SQRT(12)</f>
        <v>0</v>
      </c>
      <c r="Z70" s="1" t="s">
        <v>196</v>
      </c>
      <c r="AA70" s="26">
        <f>W68*Y70</f>
        <v>0</v>
      </c>
      <c r="AB70" s="1" t="s">
        <v>196</v>
      </c>
      <c r="AC70" s="35">
        <f>AA70*AA70/IF('Información general'!$L$42&lt;=0.25%,6,4)</f>
        <v>0</v>
      </c>
      <c r="AD70" s="1" t="s">
        <v>318</v>
      </c>
      <c r="AE70" s="650"/>
      <c r="AF70" s="652"/>
      <c r="AG70" s="26">
        <f>MAX(ABS('Toma de datos'!C77-'Toma de datos'!E77),ABS('Toma de datos'!G77-'Toma de datos'!I77),IF('Información general'!$L$42&gt;=0.25%,0,ABS('Toma de datos'!K77-'Toma de datos'!M77)))/SQRT(12)</f>
        <v>0</v>
      </c>
      <c r="AH70" s="1" t="s">
        <v>196</v>
      </c>
      <c r="AI70" s="26">
        <f>AE68*AG70</f>
        <v>0</v>
      </c>
      <c r="AJ70" s="1" t="s">
        <v>196</v>
      </c>
      <c r="AK70" s="35">
        <f>AI70*AI70/IF('Información general'!$L$42&lt;=0.25%,6,4)</f>
        <v>0</v>
      </c>
      <c r="AL70" s="1" t="s">
        <v>318</v>
      </c>
      <c r="AM70" s="650"/>
      <c r="AN70" s="652"/>
      <c r="AO70" s="26">
        <f>MAX(ABS('Toma de datos'!C78-'Toma de datos'!E78),ABS('Toma de datos'!G78-'Toma de datos'!I78),IF('Información general'!$L$42&gt;=0.25%,0,ABS('Toma de datos'!K78-'Toma de datos'!M78)))/SQRT(12)</f>
        <v>0</v>
      </c>
      <c r="AP70" s="1" t="s">
        <v>196</v>
      </c>
      <c r="AQ70" s="26">
        <f>AM68*AO70</f>
        <v>0</v>
      </c>
      <c r="AR70" s="1" t="s">
        <v>196</v>
      </c>
      <c r="AS70" s="35">
        <f>AQ70*AQ70/IF('Información general'!$L$42&lt;=0.25%,6,4)</f>
        <v>0</v>
      </c>
      <c r="AT70" s="1" t="s">
        <v>318</v>
      </c>
      <c r="AU70" s="650"/>
      <c r="AV70" s="652"/>
      <c r="AW70" s="26">
        <f>MAX(ABS('Toma de datos'!C79-'Toma de datos'!E79),ABS('Toma de datos'!G79-'Toma de datos'!I79),IF('Información general'!$L$42&gt;=0.25%,0,ABS('Toma de datos'!K79-'Toma de datos'!M79)))/SQRT(12)</f>
        <v>0</v>
      </c>
      <c r="AX70" s="1" t="s">
        <v>196</v>
      </c>
      <c r="AY70" s="26">
        <f>AU68*AW70</f>
        <v>0</v>
      </c>
      <c r="AZ70" s="1" t="s">
        <v>196</v>
      </c>
      <c r="BA70" s="35">
        <f>AY70*AY70/IF('Información general'!$L$42&lt;=0.25%,6,4)</f>
        <v>0</v>
      </c>
      <c r="BB70" s="1" t="s">
        <v>318</v>
      </c>
      <c r="BC70" s="650"/>
      <c r="BD70" s="652"/>
      <c r="BE70" s="26">
        <f>MAX(ABS('Toma de datos'!C80-'Toma de datos'!E80),ABS('Toma de datos'!G80-'Toma de datos'!I80),IF('Información general'!$L$42&gt;=0.25%,0,ABS('Toma de datos'!K80-'Toma de datos'!M80)))/SQRT(12)</f>
        <v>0</v>
      </c>
      <c r="BF70" s="1" t="s">
        <v>196</v>
      </c>
      <c r="BG70" s="26">
        <f>BC68*BE70</f>
        <v>0</v>
      </c>
      <c r="BH70" s="1" t="s">
        <v>196</v>
      </c>
      <c r="BI70" s="35">
        <f>BG70*BG70/IF('Información general'!$L$42&lt;=0.25%,6,4)</f>
        <v>0</v>
      </c>
      <c r="BJ70" s="1" t="s">
        <v>318</v>
      </c>
      <c r="BK70" s="650"/>
      <c r="BL70" s="652"/>
      <c r="BM70" s="26">
        <f>MAX(ABS('Toma de datos'!C81-'Toma de datos'!E81),ABS('Toma de datos'!G81-'Toma de datos'!I81),IF('Información general'!$L$42&gt;=0.25%,0,ABS('Toma de datos'!K81-'Toma de datos'!M81)))/SQRT(12)</f>
        <v>0</v>
      </c>
      <c r="BN70" s="1" t="s">
        <v>196</v>
      </c>
      <c r="BO70" s="26">
        <f>BK68*BM70</f>
        <v>0</v>
      </c>
      <c r="BP70" s="1" t="s">
        <v>196</v>
      </c>
      <c r="BQ70" s="35">
        <f>BO70*BO70/IF('Información general'!$L$42&lt;=0.25%,6,4)</f>
        <v>0</v>
      </c>
      <c r="BR70" s="1" t="s">
        <v>318</v>
      </c>
      <c r="BS70" s="650"/>
      <c r="BT70" s="652"/>
      <c r="BU70" s="26">
        <f>MAX(ABS('Toma de datos'!C82-'Toma de datos'!E82),ABS('Toma de datos'!G82-'Toma de datos'!I82),IF('Información general'!$L$42&gt;=0.25%,0,ABS('Toma de datos'!K82-'Toma de datos'!M82)))/SQRT(12)</f>
        <v>0</v>
      </c>
      <c r="BV70" s="1" t="s">
        <v>196</v>
      </c>
      <c r="BW70" s="26">
        <f>BS68*BU70</f>
        <v>0</v>
      </c>
      <c r="BX70" s="1" t="s">
        <v>196</v>
      </c>
      <c r="BY70" s="35">
        <f>BW70*BW70/IF('Información general'!$L$42&lt;=0.25%,6,4)</f>
        <v>0</v>
      </c>
      <c r="BZ70" s="1" t="s">
        <v>318</v>
      </c>
      <c r="CA70" s="650"/>
      <c r="CB70" s="652"/>
      <c r="CC70" s="26">
        <f>MAX(ABS('Toma de datos'!C83-'Toma de datos'!E83),ABS('Toma de datos'!G83-'Toma de datos'!I83),IF('Información general'!$L$42&gt;=0.25%,0,ABS('Toma de datos'!K83-'Toma de datos'!M83)))/SQRT(12)</f>
        <v>0</v>
      </c>
      <c r="CD70" s="1" t="s">
        <v>196</v>
      </c>
      <c r="CE70" s="26">
        <f>CA68*CC70</f>
        <v>0</v>
      </c>
      <c r="CF70" s="1" t="s">
        <v>196</v>
      </c>
      <c r="CG70" s="35">
        <f>CE70*CE70/IF('Información general'!$L$42&lt;=0.25%,6,4)</f>
        <v>0</v>
      </c>
      <c r="CH70" s="1" t="s">
        <v>318</v>
      </c>
      <c r="CI70" s="650"/>
      <c r="CJ70" s="652"/>
      <c r="CK70" s="26">
        <f>MAX(ABS('Toma de datos'!C84-'Toma de datos'!E84),ABS('Toma de datos'!G84-'Toma de datos'!I84),IF('Información general'!$L$42&gt;=0.25%,0,ABS('Toma de datos'!K84-'Toma de datos'!M84)))/SQRT(12)</f>
        <v>0</v>
      </c>
      <c r="CL70" s="1" t="s">
        <v>196</v>
      </c>
      <c r="CM70" s="26">
        <f>CI68*CK70</f>
        <v>0</v>
      </c>
      <c r="CN70" s="1" t="s">
        <v>196</v>
      </c>
      <c r="CO70" s="35">
        <f>CM70*CM70/IF('Información general'!$L$42&lt;=0.25%,6,4)</f>
        <v>0</v>
      </c>
      <c r="CP70" s="1" t="s">
        <v>318</v>
      </c>
    </row>
    <row r="71" spans="2:94" ht="18" customHeight="1" x14ac:dyDescent="0.25">
      <c r="B71" s="661" t="s">
        <v>310</v>
      </c>
      <c r="C71" s="675"/>
      <c r="D71" s="610" t="s">
        <v>322</v>
      </c>
      <c r="E71" s="631"/>
      <c r="F71" s="631"/>
      <c r="G71" s="631"/>
      <c r="H71" s="1" t="s">
        <v>140</v>
      </c>
      <c r="I71" s="1" t="s">
        <v>141</v>
      </c>
      <c r="J71" s="49">
        <f>IF('Información general'!$D$53='Equipamiento y listas'!$B$41,$T$26,1)</f>
        <v>1</v>
      </c>
      <c r="K71" s="611" t="s">
        <v>315</v>
      </c>
      <c r="L71" s="611"/>
      <c r="M71" s="611"/>
      <c r="N71" s="611"/>
      <c r="O71" s="2">
        <f>-9.8*('Información general'!H53-'Información general'!H55)/1000</f>
        <v>0</v>
      </c>
      <c r="P71" s="123" t="s">
        <v>327</v>
      </c>
      <c r="Q71" s="26" t="e">
        <f>T25</f>
        <v>#DIV/0!</v>
      </c>
      <c r="R71" s="1" t="s">
        <v>291</v>
      </c>
      <c r="S71" s="26" t="e">
        <f>O71*Q71*LOOKUP("psi",'Equipamiento y listas'!$K$49:$K$61,'Equipamiento y listas'!$L$49:$L$61)</f>
        <v>#DIV/0!</v>
      </c>
      <c r="T71" s="1" t="s">
        <v>196</v>
      </c>
      <c r="U71" s="35" t="e">
        <f t="shared" ref="U71:U77" si="1">S71*S71</f>
        <v>#DIV/0!</v>
      </c>
      <c r="V71" s="1" t="s">
        <v>318</v>
      </c>
      <c r="W71" s="2">
        <f>-9.8*('Información general'!H53-'Información general'!H55)/1000</f>
        <v>0</v>
      </c>
      <c r="X71" s="123" t="s">
        <v>327</v>
      </c>
      <c r="Y71" s="26" t="e">
        <f>T25</f>
        <v>#DIV/0!</v>
      </c>
      <c r="Z71" s="1" t="s">
        <v>291</v>
      </c>
      <c r="AA71" s="26" t="e">
        <f>W71*Y71*LOOKUP("psi",'Equipamiento y listas'!$K$49:$K$61,'Equipamiento y listas'!$L$49:$L$61)</f>
        <v>#DIV/0!</v>
      </c>
      <c r="AB71" s="1" t="s">
        <v>196</v>
      </c>
      <c r="AC71" s="35" t="e">
        <f t="shared" ref="AC71:AC77" si="2">AA71*AA71</f>
        <v>#DIV/0!</v>
      </c>
      <c r="AD71" s="1" t="s">
        <v>318</v>
      </c>
      <c r="AE71" s="121">
        <f>-9.8*('Información general'!H53-'Información general'!H55)/1000</f>
        <v>0</v>
      </c>
      <c r="AF71" s="123" t="s">
        <v>327</v>
      </c>
      <c r="AG71" s="26" t="e">
        <f>T25</f>
        <v>#DIV/0!</v>
      </c>
      <c r="AH71" s="1" t="s">
        <v>291</v>
      </c>
      <c r="AI71" s="26" t="e">
        <f>AE71*AG71*LOOKUP("psi",'Equipamiento y listas'!$K$49:$K$61,'Equipamiento y listas'!$L$49:$L$61)</f>
        <v>#DIV/0!</v>
      </c>
      <c r="AJ71" s="1" t="s">
        <v>196</v>
      </c>
      <c r="AK71" s="35" t="e">
        <f t="shared" ref="AK71:AK77" si="3">AI71*AI71</f>
        <v>#DIV/0!</v>
      </c>
      <c r="AL71" s="1" t="s">
        <v>318</v>
      </c>
      <c r="AM71" s="121">
        <f>-9.8*('Información general'!H53-'Información general'!H55)/1000</f>
        <v>0</v>
      </c>
      <c r="AN71" s="123" t="s">
        <v>327</v>
      </c>
      <c r="AO71" s="26" t="e">
        <f>T25</f>
        <v>#DIV/0!</v>
      </c>
      <c r="AP71" s="1" t="s">
        <v>291</v>
      </c>
      <c r="AQ71" s="26" t="e">
        <f>AM71*AO71*LOOKUP("psi",'Equipamiento y listas'!$K$49:$K$61,'Equipamiento y listas'!$L$49:$L$61)</f>
        <v>#DIV/0!</v>
      </c>
      <c r="AR71" s="1" t="s">
        <v>196</v>
      </c>
      <c r="AS71" s="35" t="e">
        <f t="shared" ref="AS71:AS77" si="4">AQ71*AQ71</f>
        <v>#DIV/0!</v>
      </c>
      <c r="AT71" s="1" t="s">
        <v>318</v>
      </c>
      <c r="AU71" s="121">
        <f>-9.8*('Información general'!H53-'Información general'!H55)/1000</f>
        <v>0</v>
      </c>
      <c r="AV71" s="123" t="s">
        <v>327</v>
      </c>
      <c r="AW71" s="26" t="e">
        <f>T25</f>
        <v>#DIV/0!</v>
      </c>
      <c r="AX71" s="1" t="s">
        <v>291</v>
      </c>
      <c r="AY71" s="26" t="e">
        <f>AU71*AW71*LOOKUP("psi",'Equipamiento y listas'!$K$49:$K$61,'Equipamiento y listas'!$L$49:$L$61)</f>
        <v>#DIV/0!</v>
      </c>
      <c r="AZ71" s="1" t="s">
        <v>196</v>
      </c>
      <c r="BA71" s="35" t="e">
        <f t="shared" ref="BA71:BA77" si="5">AY71*AY71</f>
        <v>#DIV/0!</v>
      </c>
      <c r="BB71" s="1" t="s">
        <v>318</v>
      </c>
      <c r="BC71" s="121">
        <f>-9.8*('Información general'!H53-'Información general'!H55)/1000</f>
        <v>0</v>
      </c>
      <c r="BD71" s="123" t="s">
        <v>327</v>
      </c>
      <c r="BE71" s="26" t="e">
        <f>T25</f>
        <v>#DIV/0!</v>
      </c>
      <c r="BF71" s="1" t="s">
        <v>291</v>
      </c>
      <c r="BG71" s="26" t="e">
        <f>BC71*BE71*LOOKUP("psi",'Equipamiento y listas'!$K$49:$K$61,'Equipamiento y listas'!$L$49:$L$61)</f>
        <v>#DIV/0!</v>
      </c>
      <c r="BH71" s="1" t="s">
        <v>196</v>
      </c>
      <c r="BI71" s="35" t="e">
        <f t="shared" ref="BI71:BI77" si="6">BG71*BG71</f>
        <v>#DIV/0!</v>
      </c>
      <c r="BJ71" s="1" t="s">
        <v>318</v>
      </c>
      <c r="BK71" s="121">
        <f>-9.8*('Información general'!H53-'Información general'!H55)/1000</f>
        <v>0</v>
      </c>
      <c r="BL71" s="123" t="s">
        <v>327</v>
      </c>
      <c r="BM71" s="26" t="e">
        <f>T25</f>
        <v>#DIV/0!</v>
      </c>
      <c r="BN71" s="1" t="s">
        <v>291</v>
      </c>
      <c r="BO71" s="26" t="e">
        <f>BK71*BM71*LOOKUP("psi",'Equipamiento y listas'!$K$49:$K$61,'Equipamiento y listas'!$L$49:$L$61)</f>
        <v>#DIV/0!</v>
      </c>
      <c r="BP71" s="1" t="s">
        <v>196</v>
      </c>
      <c r="BQ71" s="35" t="e">
        <f t="shared" ref="BQ71:BQ77" si="7">BO71*BO71</f>
        <v>#DIV/0!</v>
      </c>
      <c r="BR71" s="1" t="s">
        <v>318</v>
      </c>
      <c r="BS71" s="121">
        <f>-9.8*('Información general'!H53-'Información general'!H55)/1000</f>
        <v>0</v>
      </c>
      <c r="BT71" s="123" t="s">
        <v>327</v>
      </c>
      <c r="BU71" s="26" t="e">
        <f>T25</f>
        <v>#DIV/0!</v>
      </c>
      <c r="BV71" s="1" t="s">
        <v>291</v>
      </c>
      <c r="BW71" s="26" t="e">
        <f>BS71*BU71*LOOKUP("psi",'Equipamiento y listas'!$K$49:$K$61,'Equipamiento y listas'!$L$49:$L$61)</f>
        <v>#DIV/0!</v>
      </c>
      <c r="BX71" s="1" t="s">
        <v>196</v>
      </c>
      <c r="BY71" s="35" t="e">
        <f t="shared" ref="BY71:BY77" si="8">BW71*BW71</f>
        <v>#DIV/0!</v>
      </c>
      <c r="BZ71" s="1" t="s">
        <v>318</v>
      </c>
      <c r="CA71" s="121">
        <f>-9.8*('Información general'!H53-'Información general'!H55)/1000</f>
        <v>0</v>
      </c>
      <c r="CB71" s="123" t="s">
        <v>327</v>
      </c>
      <c r="CC71" s="26" t="e">
        <f>T25</f>
        <v>#DIV/0!</v>
      </c>
      <c r="CD71" s="1" t="s">
        <v>291</v>
      </c>
      <c r="CE71" s="26" t="e">
        <f>CA71*CC71*LOOKUP("psi",'Equipamiento y listas'!$K$49:$K$61,'Equipamiento y listas'!$L$49:$L$61)</f>
        <v>#DIV/0!</v>
      </c>
      <c r="CF71" s="1" t="s">
        <v>196</v>
      </c>
      <c r="CG71" s="35" t="e">
        <f t="shared" ref="CG71:CG77" si="9">CE71*CE71</f>
        <v>#DIV/0!</v>
      </c>
      <c r="CH71" s="1" t="s">
        <v>318</v>
      </c>
      <c r="CI71" s="121">
        <f>-9.8*('Información general'!H53-'Información general'!H55)/1000</f>
        <v>0</v>
      </c>
      <c r="CJ71" s="123" t="s">
        <v>327</v>
      </c>
      <c r="CK71" s="26" t="e">
        <f>T25</f>
        <v>#DIV/0!</v>
      </c>
      <c r="CL71" s="1" t="s">
        <v>291</v>
      </c>
      <c r="CM71" s="26" t="e">
        <f>CI71*CK71*LOOKUP("psi",'Equipamiento y listas'!$K$49:$K$61,'Equipamiento y listas'!$L$49:$L$61)</f>
        <v>#DIV/0!</v>
      </c>
      <c r="CN71" s="1" t="s">
        <v>196</v>
      </c>
      <c r="CO71" s="35" t="e">
        <f t="shared" ref="CO71:CO77" si="10">CM71*CM71</f>
        <v>#DIV/0!</v>
      </c>
      <c r="CP71" s="1" t="s">
        <v>318</v>
      </c>
    </row>
    <row r="72" spans="2:94" ht="18" customHeight="1" x14ac:dyDescent="0.25">
      <c r="B72" s="663"/>
      <c r="C72" s="676"/>
      <c r="D72" s="610" t="s">
        <v>448</v>
      </c>
      <c r="E72" s="631"/>
      <c r="F72" s="631"/>
      <c r="G72" s="631"/>
      <c r="H72" s="1" t="s">
        <v>140</v>
      </c>
      <c r="I72" s="1" t="s">
        <v>141</v>
      </c>
      <c r="J72" s="49">
        <f>IF('Información general'!$D$53='Equipamiento y listas'!$B$42,$T$54,1)</f>
        <v>1</v>
      </c>
      <c r="K72" s="611" t="s">
        <v>315</v>
      </c>
      <c r="L72" s="611"/>
      <c r="M72" s="611"/>
      <c r="N72" s="611"/>
      <c r="O72" s="2">
        <f>9.8*('Información general'!H53-'Información general'!H55)/1000</f>
        <v>0</v>
      </c>
      <c r="P72" s="123" t="s">
        <v>327</v>
      </c>
      <c r="Q72" s="26" t="e">
        <f>IF('Información general'!$D$53='Equipamiento y listas'!$B$41,T39,T53)</f>
        <v>#VALUE!</v>
      </c>
      <c r="R72" s="1" t="s">
        <v>291</v>
      </c>
      <c r="S72" s="26" t="e">
        <f>O72*Q72*LOOKUP("psi",'Equipamiento y listas'!$K$49:$K$61,'Equipamiento y listas'!$L$49:$L$61)</f>
        <v>#VALUE!</v>
      </c>
      <c r="T72" s="1" t="s">
        <v>196</v>
      </c>
      <c r="U72" s="35" t="e">
        <f t="shared" si="1"/>
        <v>#VALUE!</v>
      </c>
      <c r="V72" s="1" t="s">
        <v>318</v>
      </c>
      <c r="W72" s="2">
        <f>9.8*('Información general'!H53-'Información general'!H55)/1000</f>
        <v>0</v>
      </c>
      <c r="X72" s="123" t="s">
        <v>327</v>
      </c>
      <c r="Y72" s="26" t="e">
        <f>IF('Información general'!$D$53='Equipamiento y listas'!$B$41,AB39,AB53)</f>
        <v>#VALUE!</v>
      </c>
      <c r="Z72" s="1" t="s">
        <v>291</v>
      </c>
      <c r="AA72" s="26" t="e">
        <f>W72*Y72*LOOKUP("psi",'Equipamiento y listas'!$K$49:$K$61,'Equipamiento y listas'!$L$49:$L$61)</f>
        <v>#VALUE!</v>
      </c>
      <c r="AB72" s="1" t="s">
        <v>196</v>
      </c>
      <c r="AC72" s="35" t="e">
        <f t="shared" si="2"/>
        <v>#VALUE!</v>
      </c>
      <c r="AD72" s="1" t="s">
        <v>318</v>
      </c>
      <c r="AE72" s="121">
        <f>9.8*('Información general'!H53-'Información general'!H55)/1000</f>
        <v>0</v>
      </c>
      <c r="AF72" s="123" t="s">
        <v>327</v>
      </c>
      <c r="AG72" s="26" t="e">
        <f>IF('Información general'!$D$53='Equipamiento y listas'!$B$41,AJ39,AJ53)</f>
        <v>#VALUE!</v>
      </c>
      <c r="AH72" s="1" t="s">
        <v>291</v>
      </c>
      <c r="AI72" s="26" t="e">
        <f>AE72*AG72*LOOKUP("psi",'Equipamiento y listas'!$K$49:$K$61,'Equipamiento y listas'!$L$49:$L$61)</f>
        <v>#VALUE!</v>
      </c>
      <c r="AJ72" s="1" t="s">
        <v>196</v>
      </c>
      <c r="AK72" s="35" t="e">
        <f t="shared" si="3"/>
        <v>#VALUE!</v>
      </c>
      <c r="AL72" s="1" t="s">
        <v>318</v>
      </c>
      <c r="AM72" s="121">
        <f>9.8*('Información general'!H53-'Información general'!H55)/1000</f>
        <v>0</v>
      </c>
      <c r="AN72" s="123" t="s">
        <v>327</v>
      </c>
      <c r="AO72" s="26" t="e">
        <f>IF('Información general'!$D$53='Equipamiento y listas'!$B$41,AR39,AR53)</f>
        <v>#VALUE!</v>
      </c>
      <c r="AP72" s="1" t="s">
        <v>291</v>
      </c>
      <c r="AQ72" s="26" t="e">
        <f>AM72*AO72*LOOKUP("psi",'Equipamiento y listas'!$K$49:$K$61,'Equipamiento y listas'!$L$49:$L$61)</f>
        <v>#VALUE!</v>
      </c>
      <c r="AR72" s="1" t="s">
        <v>196</v>
      </c>
      <c r="AS72" s="35" t="e">
        <f t="shared" si="4"/>
        <v>#VALUE!</v>
      </c>
      <c r="AT72" s="1" t="s">
        <v>318</v>
      </c>
      <c r="AU72" s="121">
        <f>9.8*('Información general'!H53-'Información general'!H55)/1000</f>
        <v>0</v>
      </c>
      <c r="AV72" s="123" t="s">
        <v>327</v>
      </c>
      <c r="AW72" s="26" t="e">
        <f>IF('Información general'!$D$53='Equipamiento y listas'!$B$41,AZ39,AZ53)</f>
        <v>#VALUE!</v>
      </c>
      <c r="AX72" s="1" t="s">
        <v>291</v>
      </c>
      <c r="AY72" s="26" t="e">
        <f>AU72*AW72*LOOKUP("psi",'Equipamiento y listas'!$K$49:$K$61,'Equipamiento y listas'!$L$49:$L$61)</f>
        <v>#VALUE!</v>
      </c>
      <c r="AZ72" s="1" t="s">
        <v>196</v>
      </c>
      <c r="BA72" s="35" t="e">
        <f t="shared" si="5"/>
        <v>#VALUE!</v>
      </c>
      <c r="BB72" s="1" t="s">
        <v>318</v>
      </c>
      <c r="BC72" s="121">
        <f>9.8*('Información general'!H53-'Información general'!H55)/1000</f>
        <v>0</v>
      </c>
      <c r="BD72" s="123" t="s">
        <v>327</v>
      </c>
      <c r="BE72" s="26" t="e">
        <f>IF('Información general'!$D$53='Equipamiento y listas'!$B$41,BH39,BH53)</f>
        <v>#VALUE!</v>
      </c>
      <c r="BF72" s="1" t="s">
        <v>291</v>
      </c>
      <c r="BG72" s="26" t="e">
        <f>BC72*BE72*LOOKUP("psi",'Equipamiento y listas'!$K$49:$K$61,'Equipamiento y listas'!$L$49:$L$61)</f>
        <v>#VALUE!</v>
      </c>
      <c r="BH72" s="1" t="s">
        <v>196</v>
      </c>
      <c r="BI72" s="35" t="e">
        <f t="shared" si="6"/>
        <v>#VALUE!</v>
      </c>
      <c r="BJ72" s="1" t="s">
        <v>318</v>
      </c>
      <c r="BK72" s="121">
        <f>9.8*('Información general'!H53-'Información general'!H55)/1000</f>
        <v>0</v>
      </c>
      <c r="BL72" s="123" t="s">
        <v>327</v>
      </c>
      <c r="BM72" s="26" t="e">
        <f>IF('Información general'!$D$53='Equipamiento y listas'!$B$41,BP39,BP53)</f>
        <v>#VALUE!</v>
      </c>
      <c r="BN72" s="1" t="s">
        <v>291</v>
      </c>
      <c r="BO72" s="26" t="e">
        <f>BK72*BM72*LOOKUP("psi",'Equipamiento y listas'!$K$49:$K$61,'Equipamiento y listas'!$L$49:$L$61)</f>
        <v>#VALUE!</v>
      </c>
      <c r="BP72" s="1" t="s">
        <v>196</v>
      </c>
      <c r="BQ72" s="35" t="e">
        <f t="shared" si="7"/>
        <v>#VALUE!</v>
      </c>
      <c r="BR72" s="1" t="s">
        <v>318</v>
      </c>
      <c r="BS72" s="121">
        <f>9.8*('Información general'!H53-'Información general'!H55)/1000</f>
        <v>0</v>
      </c>
      <c r="BT72" s="123" t="s">
        <v>327</v>
      </c>
      <c r="BU72" s="26" t="e">
        <f>IF('Información general'!$D$53='Equipamiento y listas'!$B$41,BX39,BX53)</f>
        <v>#VALUE!</v>
      </c>
      <c r="BV72" s="1" t="s">
        <v>291</v>
      </c>
      <c r="BW72" s="26" t="e">
        <f>BS72*BU72*LOOKUP("psi",'Equipamiento y listas'!$K$49:$K$61,'Equipamiento y listas'!$L$49:$L$61)</f>
        <v>#VALUE!</v>
      </c>
      <c r="BX72" s="1" t="s">
        <v>196</v>
      </c>
      <c r="BY72" s="35" t="e">
        <f t="shared" si="8"/>
        <v>#VALUE!</v>
      </c>
      <c r="BZ72" s="1" t="s">
        <v>318</v>
      </c>
      <c r="CA72" s="121">
        <f>9.8*('Información general'!H53-'Información general'!H55)/1000</f>
        <v>0</v>
      </c>
      <c r="CB72" s="123" t="s">
        <v>327</v>
      </c>
      <c r="CC72" s="26" t="e">
        <f>IF('Información general'!$D$53='Equipamiento y listas'!$B$41,CF39,CF53)</f>
        <v>#VALUE!</v>
      </c>
      <c r="CD72" s="1" t="s">
        <v>291</v>
      </c>
      <c r="CE72" s="26" t="e">
        <f>CA72*CC72*LOOKUP("psi",'Equipamiento y listas'!$K$49:$K$61,'Equipamiento y listas'!$L$49:$L$61)</f>
        <v>#VALUE!</v>
      </c>
      <c r="CF72" s="1" t="s">
        <v>196</v>
      </c>
      <c r="CG72" s="35" t="e">
        <f t="shared" si="9"/>
        <v>#VALUE!</v>
      </c>
      <c r="CH72" s="1" t="s">
        <v>318</v>
      </c>
      <c r="CI72" s="121">
        <f>9.8*('Información general'!H53-'Información general'!H55)/1000</f>
        <v>0</v>
      </c>
      <c r="CJ72" s="123" t="s">
        <v>327</v>
      </c>
      <c r="CK72" s="26" t="e">
        <f>IF('Información general'!$D$53='Equipamiento y listas'!$B$41,CN39,CN53)</f>
        <v>#VALUE!</v>
      </c>
      <c r="CL72" s="1" t="s">
        <v>291</v>
      </c>
      <c r="CM72" s="26" t="e">
        <f>CI72*CK72*LOOKUP("psi",'Equipamiento y listas'!$K$49:$K$61,'Equipamiento y listas'!$L$49:$L$61)</f>
        <v>#VALUE!</v>
      </c>
      <c r="CN72" s="1" t="s">
        <v>196</v>
      </c>
      <c r="CO72" s="35" t="e">
        <f t="shared" si="10"/>
        <v>#VALUE!</v>
      </c>
      <c r="CP72" s="1" t="s">
        <v>318</v>
      </c>
    </row>
    <row r="73" spans="2:94" ht="18" customHeight="1" x14ac:dyDescent="0.25">
      <c r="B73" s="663"/>
      <c r="C73" s="676"/>
      <c r="D73" s="610" t="s">
        <v>323</v>
      </c>
      <c r="E73" s="631"/>
      <c r="F73" s="631"/>
      <c r="G73" s="631"/>
      <c r="H73" s="1" t="s">
        <v>140</v>
      </c>
      <c r="I73" s="1" t="s">
        <v>141</v>
      </c>
      <c r="J73" s="1">
        <v>102</v>
      </c>
      <c r="K73" s="611" t="s">
        <v>314</v>
      </c>
      <c r="L73" s="611"/>
      <c r="M73" s="611"/>
      <c r="N73" s="611"/>
      <c r="O73" s="58" t="e">
        <f>(IF('Información general'!$D$53='Equipamiento y listas'!$B$41,'Toma de datos'!G223,'Toma de datos'!G232)-'Toma de datos'!$B$215)*('Información general'!$H$53-'Información general'!$H$55)/1000</f>
        <v>#VALUE!</v>
      </c>
      <c r="P73" s="123" t="s">
        <v>328</v>
      </c>
      <c r="Q73" s="26">
        <f>0.025/SQRT(12)</f>
        <v>7.2168783648703227E-3</v>
      </c>
      <c r="R73" s="1" t="s">
        <v>317</v>
      </c>
      <c r="S73" s="26" t="e">
        <f>O73*Q73*LOOKUP("psi",'Equipamiento y listas'!$K$49:$K$61,'Equipamiento y listas'!$L$49:$L$61)</f>
        <v>#VALUE!</v>
      </c>
      <c r="T73" s="1" t="s">
        <v>196</v>
      </c>
      <c r="U73" s="35" t="e">
        <f t="shared" si="1"/>
        <v>#VALUE!</v>
      </c>
      <c r="V73" s="1" t="s">
        <v>318</v>
      </c>
      <c r="W73" s="58" t="e">
        <f>(IF('Información general'!$D$53='Equipamiento y listas'!$B$41,'Toma de datos'!G224,'Toma de datos'!G233)-'Toma de datos'!$B$215)*('Información general'!$H$53-'Información general'!$H$55)/1000</f>
        <v>#VALUE!</v>
      </c>
      <c r="X73" s="123" t="s">
        <v>328</v>
      </c>
      <c r="Y73" s="26">
        <f>0.025/SQRT(12)</f>
        <v>7.2168783648703227E-3</v>
      </c>
      <c r="Z73" s="1" t="s">
        <v>317</v>
      </c>
      <c r="AA73" s="26" t="e">
        <f>W73*Y73*LOOKUP("psi",'Equipamiento y listas'!$K$49:$K$61,'Equipamiento y listas'!$L$49:$L$61)</f>
        <v>#VALUE!</v>
      </c>
      <c r="AB73" s="1" t="s">
        <v>196</v>
      </c>
      <c r="AC73" s="35" t="e">
        <f t="shared" si="2"/>
        <v>#VALUE!</v>
      </c>
      <c r="AD73" s="1" t="s">
        <v>318</v>
      </c>
      <c r="AE73" s="133" t="e">
        <f>(IF('Información general'!$D$53='Equipamiento y listas'!$B$41,'Toma de datos'!G225,'Toma de datos'!G234)-'Toma de datos'!$B$215)*('Información general'!$H$53-'Información general'!$H$55)/1000</f>
        <v>#VALUE!</v>
      </c>
      <c r="AF73" s="123" t="s">
        <v>328</v>
      </c>
      <c r="AG73" s="26">
        <f>0.025/SQRT(12)</f>
        <v>7.2168783648703227E-3</v>
      </c>
      <c r="AH73" s="1" t="s">
        <v>317</v>
      </c>
      <c r="AI73" s="26" t="e">
        <f>AE73*AG73*LOOKUP("psi",'Equipamiento y listas'!$K$49:$K$61,'Equipamiento y listas'!$L$49:$L$61)</f>
        <v>#VALUE!</v>
      </c>
      <c r="AJ73" s="1" t="s">
        <v>196</v>
      </c>
      <c r="AK73" s="35" t="e">
        <f t="shared" si="3"/>
        <v>#VALUE!</v>
      </c>
      <c r="AL73" s="1" t="s">
        <v>318</v>
      </c>
      <c r="AM73" s="133" t="e">
        <f>(IF('Información general'!$D$53='Equipamiento y listas'!$B$41,'Toma de datos'!G226,'Toma de datos'!G235)-'Toma de datos'!$B$215)*('Información general'!$H$53-'Información general'!$H$55)/1000</f>
        <v>#VALUE!</v>
      </c>
      <c r="AN73" s="123" t="s">
        <v>328</v>
      </c>
      <c r="AO73" s="26">
        <f>0.025/SQRT(12)</f>
        <v>7.2168783648703227E-3</v>
      </c>
      <c r="AP73" s="1" t="s">
        <v>317</v>
      </c>
      <c r="AQ73" s="26" t="e">
        <f>AM73*AO73*LOOKUP("psi",'Equipamiento y listas'!$K$49:$K$61,'Equipamiento y listas'!$L$49:$L$61)</f>
        <v>#VALUE!</v>
      </c>
      <c r="AR73" s="1" t="s">
        <v>196</v>
      </c>
      <c r="AS73" s="35" t="e">
        <f t="shared" si="4"/>
        <v>#VALUE!</v>
      </c>
      <c r="AT73" s="1" t="s">
        <v>318</v>
      </c>
      <c r="AU73" s="133" t="e">
        <f>(IF('Información general'!$D$53='Equipamiento y listas'!$B$41,'Toma de datos'!G227,'Toma de datos'!G236)-'Toma de datos'!$B$215)*('Información general'!$H$53-'Información general'!$H$55)/1000</f>
        <v>#VALUE!</v>
      </c>
      <c r="AV73" s="123" t="s">
        <v>328</v>
      </c>
      <c r="AW73" s="26">
        <f>0.025/SQRT(12)</f>
        <v>7.2168783648703227E-3</v>
      </c>
      <c r="AX73" s="1" t="s">
        <v>317</v>
      </c>
      <c r="AY73" s="26" t="e">
        <f>AU73*AW73*LOOKUP("psi",'Equipamiento y listas'!$K$49:$K$61,'Equipamiento y listas'!$L$49:$L$61)</f>
        <v>#VALUE!</v>
      </c>
      <c r="AZ73" s="1" t="s">
        <v>196</v>
      </c>
      <c r="BA73" s="35" t="e">
        <f t="shared" si="5"/>
        <v>#VALUE!</v>
      </c>
      <c r="BB73" s="1" t="s">
        <v>318</v>
      </c>
      <c r="BC73" s="133" t="e">
        <f>(IF('Información general'!$D$53='Equipamiento y listas'!$B$41,'Toma de datos'!K223,'Toma de datos'!K232)-'Toma de datos'!$B$215)*('Información general'!$H$53-'Información general'!$H$55)/1000</f>
        <v>#VALUE!</v>
      </c>
      <c r="BD73" s="123" t="s">
        <v>328</v>
      </c>
      <c r="BE73" s="26">
        <f>0.025/SQRT(12)</f>
        <v>7.2168783648703227E-3</v>
      </c>
      <c r="BF73" s="1" t="s">
        <v>317</v>
      </c>
      <c r="BG73" s="26" t="e">
        <f>BC73*BE73*LOOKUP("psi",'Equipamiento y listas'!$K$49:$K$61,'Equipamiento y listas'!$L$49:$L$61)</f>
        <v>#VALUE!</v>
      </c>
      <c r="BH73" s="1" t="s">
        <v>196</v>
      </c>
      <c r="BI73" s="35" t="e">
        <f t="shared" si="6"/>
        <v>#VALUE!</v>
      </c>
      <c r="BJ73" s="1" t="s">
        <v>318</v>
      </c>
      <c r="BK73" s="133" t="e">
        <f>(IF('Información general'!$D$53='Equipamiento y listas'!$B$41,'Toma de datos'!K224,'Toma de datos'!K233)-'Toma de datos'!$B$215)*('Información general'!$H$53-'Información general'!$H$55)/1000</f>
        <v>#VALUE!</v>
      </c>
      <c r="BL73" s="123" t="s">
        <v>328</v>
      </c>
      <c r="BM73" s="26">
        <f>0.025/SQRT(12)</f>
        <v>7.2168783648703227E-3</v>
      </c>
      <c r="BN73" s="1" t="s">
        <v>317</v>
      </c>
      <c r="BO73" s="26" t="e">
        <f>BK73*BM73*LOOKUP("psi",'Equipamiento y listas'!$K$49:$K$61,'Equipamiento y listas'!$L$49:$L$61)</f>
        <v>#VALUE!</v>
      </c>
      <c r="BP73" s="1" t="s">
        <v>196</v>
      </c>
      <c r="BQ73" s="35" t="e">
        <f t="shared" si="7"/>
        <v>#VALUE!</v>
      </c>
      <c r="BR73" s="1" t="s">
        <v>318</v>
      </c>
      <c r="BS73" s="133" t="e">
        <f>(IF('Información general'!$D$53='Equipamiento y listas'!$B$41,'Toma de datos'!K225,'Toma de datos'!K234)-'Toma de datos'!$B$215)*('Información general'!$H$53-'Información general'!$H$55)/1000</f>
        <v>#VALUE!</v>
      </c>
      <c r="BT73" s="123" t="s">
        <v>328</v>
      </c>
      <c r="BU73" s="26">
        <f>0.025/SQRT(12)</f>
        <v>7.2168783648703227E-3</v>
      </c>
      <c r="BV73" s="1" t="s">
        <v>317</v>
      </c>
      <c r="BW73" s="26" t="e">
        <f>BS73*BU73*LOOKUP("psi",'Equipamiento y listas'!$K$49:$K$61,'Equipamiento y listas'!$L$49:$L$61)</f>
        <v>#VALUE!</v>
      </c>
      <c r="BX73" s="1" t="s">
        <v>196</v>
      </c>
      <c r="BY73" s="35" t="e">
        <f t="shared" si="8"/>
        <v>#VALUE!</v>
      </c>
      <c r="BZ73" s="1" t="s">
        <v>318</v>
      </c>
      <c r="CA73" s="133" t="e">
        <f>(IF('Información general'!$D$53='Equipamiento y listas'!$B$41,'Toma de datos'!K226,'Toma de datos'!K235)-'Toma de datos'!$B$215)*('Información general'!$H$53-'Información general'!$H$55)/1000</f>
        <v>#VALUE!</v>
      </c>
      <c r="CB73" s="123" t="s">
        <v>328</v>
      </c>
      <c r="CC73" s="26">
        <f>0.025/SQRT(12)</f>
        <v>7.2168783648703227E-3</v>
      </c>
      <c r="CD73" s="1" t="s">
        <v>317</v>
      </c>
      <c r="CE73" s="26" t="e">
        <f>CA73*CC73*LOOKUP("psi",'Equipamiento y listas'!$K$49:$K$61,'Equipamiento y listas'!$L$49:$L$61)</f>
        <v>#VALUE!</v>
      </c>
      <c r="CF73" s="1" t="s">
        <v>196</v>
      </c>
      <c r="CG73" s="35" t="e">
        <f t="shared" si="9"/>
        <v>#VALUE!</v>
      </c>
      <c r="CH73" s="1" t="s">
        <v>318</v>
      </c>
      <c r="CI73" s="133" t="e">
        <f>(IF('Información general'!$D$53='Equipamiento y listas'!$B$41,'Toma de datos'!K227,'Toma de datos'!K236)-'Toma de datos'!$B$215)*('Información general'!$H$53-'Información general'!$H$55)/1000</f>
        <v>#VALUE!</v>
      </c>
      <c r="CJ73" s="123" t="s">
        <v>328</v>
      </c>
      <c r="CK73" s="26">
        <f>0.025/SQRT(12)</f>
        <v>7.2168783648703227E-3</v>
      </c>
      <c r="CL73" s="1" t="s">
        <v>317</v>
      </c>
      <c r="CM73" s="26" t="e">
        <f>CI73*CK73*LOOKUP("psi",'Equipamiento y listas'!$K$49:$K$61,'Equipamiento y listas'!$L$49:$L$61)</f>
        <v>#VALUE!</v>
      </c>
      <c r="CN73" s="1" t="s">
        <v>196</v>
      </c>
      <c r="CO73" s="35" t="e">
        <f t="shared" si="10"/>
        <v>#VALUE!</v>
      </c>
      <c r="CP73" s="1" t="s">
        <v>318</v>
      </c>
    </row>
    <row r="74" spans="2:94" ht="18" customHeight="1" x14ac:dyDescent="0.25">
      <c r="B74" s="663"/>
      <c r="C74" s="676"/>
      <c r="D74" s="635" t="s">
        <v>311</v>
      </c>
      <c r="E74" s="611" t="s">
        <v>296</v>
      </c>
      <c r="F74" s="611"/>
      <c r="G74" s="611"/>
      <c r="H74" s="1" t="s">
        <v>140</v>
      </c>
      <c r="I74" s="1" t="s">
        <v>141</v>
      </c>
      <c r="J74" s="1">
        <v>50</v>
      </c>
      <c r="K74" s="611" t="s">
        <v>313</v>
      </c>
      <c r="L74" s="611"/>
      <c r="M74" s="611"/>
      <c r="N74" s="611"/>
      <c r="O74" s="672" t="e">
        <f>9.8*(IF('Información general'!$D$53='Equipamiento y listas'!$B$41,'Toma de datos'!G223,'Toma de datos'!G232)-'Toma de datos'!$B$215)</f>
        <v>#VALUE!</v>
      </c>
      <c r="P74" s="656" t="s">
        <v>329</v>
      </c>
      <c r="Q74" s="26" t="e">
        <f>SQRT(2)*'Información general'!H73/(1000*SQRT(12))</f>
        <v>#N/A</v>
      </c>
      <c r="R74" s="1" t="s">
        <v>316</v>
      </c>
      <c r="S74" s="26" t="e">
        <f>O74*Q74*LOOKUP("psi",'Equipamiento y listas'!$K$49:$K$61,'Equipamiento y listas'!$L$49:$L$61)</f>
        <v>#VALUE!</v>
      </c>
      <c r="T74" s="1" t="s">
        <v>196</v>
      </c>
      <c r="U74" s="35" t="e">
        <f t="shared" si="1"/>
        <v>#VALUE!</v>
      </c>
      <c r="V74" s="1" t="s">
        <v>318</v>
      </c>
      <c r="W74" s="672" t="e">
        <f>9.8*(IF('Información general'!$D$53='Equipamiento y listas'!$B$41,'Toma de datos'!G224,'Toma de datos'!G233)-'Toma de datos'!$B$215)</f>
        <v>#VALUE!</v>
      </c>
      <c r="X74" s="656" t="s">
        <v>329</v>
      </c>
      <c r="Y74" s="26" t="e">
        <f>SQRT(2)*'Información general'!H73/(1000*SQRT(12))</f>
        <v>#N/A</v>
      </c>
      <c r="Z74" s="1" t="s">
        <v>316</v>
      </c>
      <c r="AA74" s="26" t="e">
        <f>W74*Y74*LOOKUP("psi",'Equipamiento y listas'!$K$49:$K$61,'Equipamiento y listas'!$L$49:$L$61)</f>
        <v>#VALUE!</v>
      </c>
      <c r="AB74" s="1" t="s">
        <v>196</v>
      </c>
      <c r="AC74" s="35" t="e">
        <f t="shared" si="2"/>
        <v>#VALUE!</v>
      </c>
      <c r="AD74" s="1" t="s">
        <v>318</v>
      </c>
      <c r="AE74" s="653" t="e">
        <f>9.8*(IF('Información general'!$D$53='Equipamiento y listas'!$B$41,'Toma de datos'!G225,'Toma de datos'!G234)-'Toma de datos'!$B$215)</f>
        <v>#VALUE!</v>
      </c>
      <c r="AF74" s="656" t="s">
        <v>329</v>
      </c>
      <c r="AG74" s="26" t="e">
        <f>SQRT(2)*'Información general'!H73/(1000*SQRT(12))</f>
        <v>#N/A</v>
      </c>
      <c r="AH74" s="1" t="s">
        <v>316</v>
      </c>
      <c r="AI74" s="26" t="e">
        <f>AE74*AG74*LOOKUP("psi",'Equipamiento y listas'!$K$49:$K$61,'Equipamiento y listas'!$L$49:$L$61)</f>
        <v>#VALUE!</v>
      </c>
      <c r="AJ74" s="1" t="s">
        <v>196</v>
      </c>
      <c r="AK74" s="35" t="e">
        <f t="shared" si="3"/>
        <v>#VALUE!</v>
      </c>
      <c r="AL74" s="1" t="s">
        <v>318</v>
      </c>
      <c r="AM74" s="653" t="e">
        <f>9.8*(IF('Información general'!$D$53='Equipamiento y listas'!$B$41,'Toma de datos'!G226,'Toma de datos'!G235)-'Toma de datos'!$B$215)</f>
        <v>#VALUE!</v>
      </c>
      <c r="AN74" s="656" t="s">
        <v>329</v>
      </c>
      <c r="AO74" s="26" t="e">
        <f>SQRT(2)*'Información general'!H73/(1000*SQRT(12))</f>
        <v>#N/A</v>
      </c>
      <c r="AP74" s="1" t="s">
        <v>316</v>
      </c>
      <c r="AQ74" s="26" t="e">
        <f>AM74*AO74*LOOKUP("psi",'Equipamiento y listas'!$K$49:$K$61,'Equipamiento y listas'!$L$49:$L$61)</f>
        <v>#VALUE!</v>
      </c>
      <c r="AR74" s="1" t="s">
        <v>196</v>
      </c>
      <c r="AS74" s="35" t="e">
        <f t="shared" si="4"/>
        <v>#VALUE!</v>
      </c>
      <c r="AT74" s="1" t="s">
        <v>318</v>
      </c>
      <c r="AU74" s="653" t="e">
        <f>9.8*(IF('Información general'!$D$53='Equipamiento y listas'!$B$41,'Toma de datos'!G227,'Toma de datos'!G236)-'Toma de datos'!$B$215)</f>
        <v>#VALUE!</v>
      </c>
      <c r="AV74" s="656" t="s">
        <v>329</v>
      </c>
      <c r="AW74" s="26" t="e">
        <f>SQRT(2)*'Información general'!H73/(1000*SQRT(12))</f>
        <v>#N/A</v>
      </c>
      <c r="AX74" s="1" t="s">
        <v>316</v>
      </c>
      <c r="AY74" s="26" t="e">
        <f>AU74*AW74*LOOKUP("psi",'Equipamiento y listas'!$K$49:$K$61,'Equipamiento y listas'!$L$49:$L$61)</f>
        <v>#VALUE!</v>
      </c>
      <c r="AZ74" s="1" t="s">
        <v>196</v>
      </c>
      <c r="BA74" s="35" t="e">
        <f t="shared" si="5"/>
        <v>#VALUE!</v>
      </c>
      <c r="BB74" s="1" t="s">
        <v>318</v>
      </c>
      <c r="BC74" s="653" t="e">
        <f>9.8*(IF('Información general'!$D$53='Equipamiento y listas'!$B$41,'Toma de datos'!K223,'Toma de datos'!K232)-'Toma de datos'!$B$215)</f>
        <v>#VALUE!</v>
      </c>
      <c r="BD74" s="656" t="s">
        <v>329</v>
      </c>
      <c r="BE74" s="26" t="e">
        <f>SQRT(2)*'Información general'!H73/(1000*SQRT(12))</f>
        <v>#N/A</v>
      </c>
      <c r="BF74" s="1" t="s">
        <v>316</v>
      </c>
      <c r="BG74" s="26" t="e">
        <f>BC74*BE74*LOOKUP("psi",'Equipamiento y listas'!$K$49:$K$61,'Equipamiento y listas'!$L$49:$L$61)</f>
        <v>#VALUE!</v>
      </c>
      <c r="BH74" s="1" t="s">
        <v>196</v>
      </c>
      <c r="BI74" s="35" t="e">
        <f t="shared" si="6"/>
        <v>#VALUE!</v>
      </c>
      <c r="BJ74" s="1" t="s">
        <v>318</v>
      </c>
      <c r="BK74" s="653" t="e">
        <f>9.8*(IF('Información general'!$D$53='Equipamiento y listas'!$B$41,'Toma de datos'!K224,'Toma de datos'!K233)-'Toma de datos'!$B$215)</f>
        <v>#VALUE!</v>
      </c>
      <c r="BL74" s="656" t="s">
        <v>329</v>
      </c>
      <c r="BM74" s="26" t="e">
        <f>SQRT(2)*'Información general'!H73/(1000*SQRT(12))</f>
        <v>#N/A</v>
      </c>
      <c r="BN74" s="1" t="s">
        <v>316</v>
      </c>
      <c r="BO74" s="26" t="e">
        <f>BK74*BM74*LOOKUP("psi",'Equipamiento y listas'!$K$49:$K$61,'Equipamiento y listas'!$L$49:$L$61)</f>
        <v>#VALUE!</v>
      </c>
      <c r="BP74" s="1" t="s">
        <v>196</v>
      </c>
      <c r="BQ74" s="35" t="e">
        <f t="shared" si="7"/>
        <v>#VALUE!</v>
      </c>
      <c r="BR74" s="1" t="s">
        <v>318</v>
      </c>
      <c r="BS74" s="653" t="e">
        <f>9.8*(IF('Información general'!$D$53='Equipamiento y listas'!$B$41,'Toma de datos'!K225,'Toma de datos'!K234)-'Toma de datos'!$B$215)</f>
        <v>#VALUE!</v>
      </c>
      <c r="BT74" s="656" t="s">
        <v>329</v>
      </c>
      <c r="BU74" s="26" t="e">
        <f>SQRT(2)*'Información general'!H73/(1000*SQRT(12))</f>
        <v>#N/A</v>
      </c>
      <c r="BV74" s="1" t="s">
        <v>316</v>
      </c>
      <c r="BW74" s="26" t="e">
        <f>BS74*BU74*LOOKUP("psi",'Equipamiento y listas'!$K$49:$K$61,'Equipamiento y listas'!$L$49:$L$61)</f>
        <v>#VALUE!</v>
      </c>
      <c r="BX74" s="1" t="s">
        <v>196</v>
      </c>
      <c r="BY74" s="35" t="e">
        <f t="shared" si="8"/>
        <v>#VALUE!</v>
      </c>
      <c r="BZ74" s="1" t="s">
        <v>318</v>
      </c>
      <c r="CA74" s="653" t="e">
        <f>9.8*(IF('Información general'!$D$53='Equipamiento y listas'!$B$41,'Toma de datos'!K226,'Toma de datos'!K235)-'Toma de datos'!$B$215)</f>
        <v>#VALUE!</v>
      </c>
      <c r="CB74" s="656" t="s">
        <v>329</v>
      </c>
      <c r="CC74" s="26" t="e">
        <f>SQRT(2)*'Información general'!H73/(1000*SQRT(12))</f>
        <v>#N/A</v>
      </c>
      <c r="CD74" s="1" t="s">
        <v>316</v>
      </c>
      <c r="CE74" s="26" t="e">
        <f>CA74*CC74*LOOKUP("psi",'Equipamiento y listas'!$K$49:$K$61,'Equipamiento y listas'!$L$49:$L$61)</f>
        <v>#VALUE!</v>
      </c>
      <c r="CF74" s="1" t="s">
        <v>196</v>
      </c>
      <c r="CG74" s="35" t="e">
        <f t="shared" si="9"/>
        <v>#VALUE!</v>
      </c>
      <c r="CH74" s="1" t="s">
        <v>318</v>
      </c>
      <c r="CI74" s="653" t="e">
        <f>9.8*(IF('Información general'!$D$53='Equipamiento y listas'!$B$41,'Toma de datos'!K227,'Toma de datos'!K236)-'Toma de datos'!$B$215)</f>
        <v>#VALUE!</v>
      </c>
      <c r="CJ74" s="656" t="s">
        <v>329</v>
      </c>
      <c r="CK74" s="26" t="e">
        <f>SQRT(2)*'Información general'!H73/(1000*SQRT(12))</f>
        <v>#N/A</v>
      </c>
      <c r="CL74" s="1" t="s">
        <v>316</v>
      </c>
      <c r="CM74" s="26" t="e">
        <f>CI74*CK74*LOOKUP("psi",'Equipamiento y listas'!$K$49:$K$61,'Equipamiento y listas'!$L$49:$L$61)</f>
        <v>#VALUE!</v>
      </c>
      <c r="CN74" s="1" t="s">
        <v>196</v>
      </c>
      <c r="CO74" s="35" t="e">
        <f t="shared" si="10"/>
        <v>#VALUE!</v>
      </c>
      <c r="CP74" s="1" t="s">
        <v>318</v>
      </c>
    </row>
    <row r="75" spans="2:94" ht="18" customHeight="1" x14ac:dyDescent="0.25">
      <c r="B75" s="663"/>
      <c r="C75" s="676"/>
      <c r="D75" s="635"/>
      <c r="E75" s="611" t="s">
        <v>143</v>
      </c>
      <c r="F75" s="611"/>
      <c r="G75" s="611"/>
      <c r="H75" s="1" t="s">
        <v>140</v>
      </c>
      <c r="I75" s="1" t="s">
        <v>141</v>
      </c>
      <c r="J75" s="1">
        <v>200</v>
      </c>
      <c r="K75" s="611" t="s">
        <v>148</v>
      </c>
      <c r="L75" s="611"/>
      <c r="M75" s="611"/>
      <c r="N75" s="611"/>
      <c r="O75" s="673"/>
      <c r="P75" s="657"/>
      <c r="Q75" s="26">
        <f t="array" ref="Q75">SQRT(2)*MAX(Corrección!F617:F618/Corrección!G617:G618)/1000</f>
        <v>2.928422023095803E-4</v>
      </c>
      <c r="R75" s="1" t="s">
        <v>316</v>
      </c>
      <c r="S75" s="26" t="e">
        <f>O74*Q75*LOOKUP("psi",'Equipamiento y listas'!$K$49:$K$61,'Equipamiento y listas'!$L$49:$L$61)</f>
        <v>#VALUE!</v>
      </c>
      <c r="T75" s="1" t="s">
        <v>196</v>
      </c>
      <c r="U75" s="35" t="e">
        <f t="shared" si="1"/>
        <v>#VALUE!</v>
      </c>
      <c r="V75" s="1" t="s">
        <v>318</v>
      </c>
      <c r="W75" s="673"/>
      <c r="X75" s="657"/>
      <c r="Y75" s="26">
        <f t="array" ref="Y75">SQRT(2)*MAX(Corrección!F617:F618/Corrección!G617:G618)/1000</f>
        <v>2.928422023095803E-4</v>
      </c>
      <c r="Z75" s="1" t="s">
        <v>316</v>
      </c>
      <c r="AA75" s="26" t="e">
        <f>W74*Y75*LOOKUP("psi",'Equipamiento y listas'!$K$49:$K$61,'Equipamiento y listas'!$L$49:$L$61)</f>
        <v>#VALUE!</v>
      </c>
      <c r="AB75" s="1" t="s">
        <v>196</v>
      </c>
      <c r="AC75" s="35" t="e">
        <f t="shared" si="2"/>
        <v>#VALUE!</v>
      </c>
      <c r="AD75" s="1" t="s">
        <v>318</v>
      </c>
      <c r="AE75" s="654"/>
      <c r="AF75" s="657"/>
      <c r="AG75" s="26">
        <f t="array" ref="AG75">SQRT(2)*MAX(Corrección!F617:F618/Corrección!G617:G618)/1000</f>
        <v>2.928422023095803E-4</v>
      </c>
      <c r="AH75" s="1" t="s">
        <v>316</v>
      </c>
      <c r="AI75" s="26" t="e">
        <f>AE74*AG75*LOOKUP("psi",'Equipamiento y listas'!$K$49:$K$61,'Equipamiento y listas'!$L$49:$L$61)</f>
        <v>#VALUE!</v>
      </c>
      <c r="AJ75" s="1" t="s">
        <v>196</v>
      </c>
      <c r="AK75" s="35" t="e">
        <f t="shared" si="3"/>
        <v>#VALUE!</v>
      </c>
      <c r="AL75" s="1" t="s">
        <v>318</v>
      </c>
      <c r="AM75" s="654"/>
      <c r="AN75" s="657"/>
      <c r="AO75" s="26">
        <f t="array" ref="AO75">SQRT(2)*MAX(Corrección!F617:F618/Corrección!G617:G618)/1000</f>
        <v>2.928422023095803E-4</v>
      </c>
      <c r="AP75" s="1" t="s">
        <v>316</v>
      </c>
      <c r="AQ75" s="26" t="e">
        <f>AM74*AO75*LOOKUP("psi",'Equipamiento y listas'!$K$49:$K$61,'Equipamiento y listas'!$L$49:$L$61)</f>
        <v>#VALUE!</v>
      </c>
      <c r="AR75" s="1" t="s">
        <v>196</v>
      </c>
      <c r="AS75" s="35" t="e">
        <f t="shared" si="4"/>
        <v>#VALUE!</v>
      </c>
      <c r="AT75" s="1" t="s">
        <v>318</v>
      </c>
      <c r="AU75" s="654"/>
      <c r="AV75" s="657"/>
      <c r="AW75" s="26">
        <f t="array" ref="AW75">SQRT(2)*MAX(Corrección!F617:F618/Corrección!G617:G618)/1000</f>
        <v>2.928422023095803E-4</v>
      </c>
      <c r="AX75" s="1" t="s">
        <v>316</v>
      </c>
      <c r="AY75" s="26" t="e">
        <f>AU74*AW75*LOOKUP("psi",'Equipamiento y listas'!$K$49:$K$61,'Equipamiento y listas'!$L$49:$L$61)</f>
        <v>#VALUE!</v>
      </c>
      <c r="AZ75" s="1" t="s">
        <v>196</v>
      </c>
      <c r="BA75" s="35" t="e">
        <f t="shared" si="5"/>
        <v>#VALUE!</v>
      </c>
      <c r="BB75" s="1" t="s">
        <v>318</v>
      </c>
      <c r="BC75" s="654"/>
      <c r="BD75" s="657"/>
      <c r="BE75" s="26">
        <f t="array" ref="BE75">SQRT(2)*MAX(Corrección!F617:F618/Corrección!G617:G618)/1000</f>
        <v>2.928422023095803E-4</v>
      </c>
      <c r="BF75" s="1" t="s">
        <v>316</v>
      </c>
      <c r="BG75" s="26" t="e">
        <f>BC74*BE75*LOOKUP("psi",'Equipamiento y listas'!$K$49:$K$61,'Equipamiento y listas'!$L$49:$L$61)</f>
        <v>#VALUE!</v>
      </c>
      <c r="BH75" s="1" t="s">
        <v>196</v>
      </c>
      <c r="BI75" s="35" t="e">
        <f t="shared" si="6"/>
        <v>#VALUE!</v>
      </c>
      <c r="BJ75" s="1" t="s">
        <v>318</v>
      </c>
      <c r="BK75" s="654"/>
      <c r="BL75" s="657"/>
      <c r="BM75" s="26">
        <f t="array" ref="BM75">SQRT(2)*MAX(Corrección!F617:F618/Corrección!G617:G618)/1000</f>
        <v>2.928422023095803E-4</v>
      </c>
      <c r="BN75" s="1" t="s">
        <v>316</v>
      </c>
      <c r="BO75" s="26" t="e">
        <f>BK74*BM75*LOOKUP("psi",'Equipamiento y listas'!$K$49:$K$61,'Equipamiento y listas'!$L$49:$L$61)</f>
        <v>#VALUE!</v>
      </c>
      <c r="BP75" s="1" t="s">
        <v>196</v>
      </c>
      <c r="BQ75" s="35" t="e">
        <f t="shared" si="7"/>
        <v>#VALUE!</v>
      </c>
      <c r="BR75" s="1" t="s">
        <v>318</v>
      </c>
      <c r="BS75" s="654"/>
      <c r="BT75" s="657"/>
      <c r="BU75" s="26">
        <f t="array" ref="BU75">SQRT(2)*MAX(Corrección!F617:F618/Corrección!G617:G618)/1000</f>
        <v>2.928422023095803E-4</v>
      </c>
      <c r="BV75" s="1" t="s">
        <v>316</v>
      </c>
      <c r="BW75" s="26" t="e">
        <f>BS74*BU75*LOOKUP("psi",'Equipamiento y listas'!$K$49:$K$61,'Equipamiento y listas'!$L$49:$L$61)</f>
        <v>#VALUE!</v>
      </c>
      <c r="BX75" s="1" t="s">
        <v>196</v>
      </c>
      <c r="BY75" s="35" t="e">
        <f t="shared" si="8"/>
        <v>#VALUE!</v>
      </c>
      <c r="BZ75" s="1" t="s">
        <v>318</v>
      </c>
      <c r="CA75" s="654"/>
      <c r="CB75" s="657"/>
      <c r="CC75" s="26">
        <f t="array" ref="CC75">SQRT(2)*MAX(Corrección!F617:F618/Corrección!G617:G618)/1000</f>
        <v>2.928422023095803E-4</v>
      </c>
      <c r="CD75" s="1" t="s">
        <v>316</v>
      </c>
      <c r="CE75" s="26" t="e">
        <f>CA74*CC75*LOOKUP("psi",'Equipamiento y listas'!$K$49:$K$61,'Equipamiento y listas'!$L$49:$L$61)</f>
        <v>#VALUE!</v>
      </c>
      <c r="CF75" s="1" t="s">
        <v>196</v>
      </c>
      <c r="CG75" s="35" t="e">
        <f t="shared" si="9"/>
        <v>#VALUE!</v>
      </c>
      <c r="CH75" s="1" t="s">
        <v>318</v>
      </c>
      <c r="CI75" s="654"/>
      <c r="CJ75" s="657"/>
      <c r="CK75" s="26">
        <f t="array" ref="CK75">SQRT(2)*MAX(Corrección!F617:F618/Corrección!G617:G618)/1000</f>
        <v>2.928422023095803E-4</v>
      </c>
      <c r="CL75" s="1" t="s">
        <v>316</v>
      </c>
      <c r="CM75" s="26" t="e">
        <f>CI74*CK75*LOOKUP("psi",'Equipamiento y listas'!$K$49:$K$61,'Equipamiento y listas'!$L$49:$L$61)</f>
        <v>#VALUE!</v>
      </c>
      <c r="CN75" s="1" t="s">
        <v>196</v>
      </c>
      <c r="CO75" s="35" t="e">
        <f t="shared" si="10"/>
        <v>#VALUE!</v>
      </c>
      <c r="CP75" s="1" t="s">
        <v>318</v>
      </c>
    </row>
    <row r="76" spans="2:94" ht="18" customHeight="1" x14ac:dyDescent="0.25">
      <c r="B76" s="663"/>
      <c r="C76" s="676"/>
      <c r="D76" s="636"/>
      <c r="E76" s="637" t="s">
        <v>144</v>
      </c>
      <c r="F76" s="637"/>
      <c r="G76" s="637"/>
      <c r="H76" s="1" t="s">
        <v>140</v>
      </c>
      <c r="I76" s="1" t="s">
        <v>141</v>
      </c>
      <c r="J76" s="1">
        <v>102</v>
      </c>
      <c r="K76" s="611" t="s">
        <v>312</v>
      </c>
      <c r="L76" s="611"/>
      <c r="M76" s="611"/>
      <c r="N76" s="611"/>
      <c r="O76" s="674"/>
      <c r="P76" s="651"/>
      <c r="Q76" s="26">
        <f>SQRT(2)*MAX(Corrección!E617:E618)/(1000*SQRT(12))</f>
        <v>2.4494897427831784E-4</v>
      </c>
      <c r="R76" s="1" t="s">
        <v>316</v>
      </c>
      <c r="S76" s="26" t="e">
        <f>O74*Q76*LOOKUP("psi",'Equipamiento y listas'!$K$49:$K$61,'Equipamiento y listas'!$L$49:$L$61)</f>
        <v>#VALUE!</v>
      </c>
      <c r="T76" s="1" t="s">
        <v>196</v>
      </c>
      <c r="U76" s="35" t="e">
        <f t="shared" si="1"/>
        <v>#VALUE!</v>
      </c>
      <c r="V76" s="1" t="s">
        <v>318</v>
      </c>
      <c r="W76" s="674"/>
      <c r="X76" s="651"/>
      <c r="Y76" s="26">
        <f>SQRT(2)*MAX(Corrección!E617:E618)/(1000*SQRT(12))</f>
        <v>2.4494897427831784E-4</v>
      </c>
      <c r="Z76" s="1" t="s">
        <v>316</v>
      </c>
      <c r="AA76" s="26" t="e">
        <f>W74*Y76*LOOKUP("psi",'Equipamiento y listas'!$K$49:$K$61,'Equipamiento y listas'!$L$49:$L$61)</f>
        <v>#VALUE!</v>
      </c>
      <c r="AB76" s="1" t="s">
        <v>196</v>
      </c>
      <c r="AC76" s="35" t="e">
        <f t="shared" si="2"/>
        <v>#VALUE!</v>
      </c>
      <c r="AD76" s="1" t="s">
        <v>318</v>
      </c>
      <c r="AE76" s="655"/>
      <c r="AF76" s="651"/>
      <c r="AG76" s="26">
        <f>SQRT(2)*MAX(Corrección!E617:E618)/(1000*SQRT(12))</f>
        <v>2.4494897427831784E-4</v>
      </c>
      <c r="AH76" s="1" t="s">
        <v>316</v>
      </c>
      <c r="AI76" s="26" t="e">
        <f>AE74*AG76*LOOKUP("psi",'Equipamiento y listas'!$K$49:$K$61,'Equipamiento y listas'!$L$49:$L$61)</f>
        <v>#VALUE!</v>
      </c>
      <c r="AJ76" s="1" t="s">
        <v>196</v>
      </c>
      <c r="AK76" s="35" t="e">
        <f t="shared" si="3"/>
        <v>#VALUE!</v>
      </c>
      <c r="AL76" s="1" t="s">
        <v>318</v>
      </c>
      <c r="AM76" s="655"/>
      <c r="AN76" s="651"/>
      <c r="AO76" s="26">
        <f>SQRT(2)*MAX(Corrección!E617:E618)/(1000*SQRT(12))</f>
        <v>2.4494897427831784E-4</v>
      </c>
      <c r="AP76" s="1" t="s">
        <v>316</v>
      </c>
      <c r="AQ76" s="26" t="e">
        <f>AM74*AO76*LOOKUP("psi",'Equipamiento y listas'!$K$49:$K$61,'Equipamiento y listas'!$L$49:$L$61)</f>
        <v>#VALUE!</v>
      </c>
      <c r="AR76" s="1" t="s">
        <v>196</v>
      </c>
      <c r="AS76" s="35" t="e">
        <f t="shared" si="4"/>
        <v>#VALUE!</v>
      </c>
      <c r="AT76" s="1" t="s">
        <v>318</v>
      </c>
      <c r="AU76" s="655"/>
      <c r="AV76" s="651"/>
      <c r="AW76" s="26">
        <f>SQRT(2)*MAX(Corrección!E617:E618)/(1000*SQRT(12))</f>
        <v>2.4494897427831784E-4</v>
      </c>
      <c r="AX76" s="1" t="s">
        <v>316</v>
      </c>
      <c r="AY76" s="26" t="e">
        <f>AU74*AW76*LOOKUP("psi",'Equipamiento y listas'!$K$49:$K$61,'Equipamiento y listas'!$L$49:$L$61)</f>
        <v>#VALUE!</v>
      </c>
      <c r="AZ76" s="1" t="s">
        <v>196</v>
      </c>
      <c r="BA76" s="35" t="e">
        <f t="shared" si="5"/>
        <v>#VALUE!</v>
      </c>
      <c r="BB76" s="1" t="s">
        <v>318</v>
      </c>
      <c r="BC76" s="655"/>
      <c r="BD76" s="651"/>
      <c r="BE76" s="26">
        <f>SQRT(2)*MAX(Corrección!E617:E618)/(1000*SQRT(12))</f>
        <v>2.4494897427831784E-4</v>
      </c>
      <c r="BF76" s="1" t="s">
        <v>316</v>
      </c>
      <c r="BG76" s="26" t="e">
        <f>BC74*BE76*LOOKUP("psi",'Equipamiento y listas'!$K$49:$K$61,'Equipamiento y listas'!$L$49:$L$61)</f>
        <v>#VALUE!</v>
      </c>
      <c r="BH76" s="1" t="s">
        <v>196</v>
      </c>
      <c r="BI76" s="35" t="e">
        <f t="shared" si="6"/>
        <v>#VALUE!</v>
      </c>
      <c r="BJ76" s="1" t="s">
        <v>318</v>
      </c>
      <c r="BK76" s="655"/>
      <c r="BL76" s="651"/>
      <c r="BM76" s="26">
        <f>SQRT(2)*MAX(Corrección!E617:E618)/(1000*SQRT(12))</f>
        <v>2.4494897427831784E-4</v>
      </c>
      <c r="BN76" s="1" t="s">
        <v>316</v>
      </c>
      <c r="BO76" s="26" t="e">
        <f>BK74*BM76*LOOKUP("psi",'Equipamiento y listas'!$K$49:$K$61,'Equipamiento y listas'!$L$49:$L$61)</f>
        <v>#VALUE!</v>
      </c>
      <c r="BP76" s="1" t="s">
        <v>196</v>
      </c>
      <c r="BQ76" s="35" t="e">
        <f t="shared" si="7"/>
        <v>#VALUE!</v>
      </c>
      <c r="BR76" s="1" t="s">
        <v>318</v>
      </c>
      <c r="BS76" s="655"/>
      <c r="BT76" s="651"/>
      <c r="BU76" s="26">
        <f>SQRT(2)*MAX(Corrección!E617:E618)/(1000*SQRT(12))</f>
        <v>2.4494897427831784E-4</v>
      </c>
      <c r="BV76" s="1" t="s">
        <v>316</v>
      </c>
      <c r="BW76" s="26" t="e">
        <f>BS74*BU76*LOOKUP("psi",'Equipamiento y listas'!$K$49:$K$61,'Equipamiento y listas'!$L$49:$L$61)</f>
        <v>#VALUE!</v>
      </c>
      <c r="BX76" s="1" t="s">
        <v>196</v>
      </c>
      <c r="BY76" s="35" t="e">
        <f t="shared" si="8"/>
        <v>#VALUE!</v>
      </c>
      <c r="BZ76" s="1" t="s">
        <v>318</v>
      </c>
      <c r="CA76" s="655"/>
      <c r="CB76" s="651"/>
      <c r="CC76" s="26">
        <f>SQRT(2)*MAX(Corrección!E617:E618)/(1000*SQRT(12))</f>
        <v>2.4494897427831784E-4</v>
      </c>
      <c r="CD76" s="1" t="s">
        <v>316</v>
      </c>
      <c r="CE76" s="26" t="e">
        <f>CA74*CC76*LOOKUP("psi",'Equipamiento y listas'!$K$49:$K$61,'Equipamiento y listas'!$L$49:$L$61)</f>
        <v>#VALUE!</v>
      </c>
      <c r="CF76" s="1" t="s">
        <v>196</v>
      </c>
      <c r="CG76" s="35" t="e">
        <f t="shared" si="9"/>
        <v>#VALUE!</v>
      </c>
      <c r="CH76" s="1" t="s">
        <v>318</v>
      </c>
      <c r="CI76" s="655"/>
      <c r="CJ76" s="651"/>
      <c r="CK76" s="26">
        <f>SQRT(2)*MAX(Corrección!E617:E618)/(1000*SQRT(12))</f>
        <v>2.4494897427831784E-4</v>
      </c>
      <c r="CL76" s="1" t="s">
        <v>316</v>
      </c>
      <c r="CM76" s="26" t="e">
        <f>CI74*CK76*LOOKUP("psi",'Equipamiento y listas'!$K$49:$K$61,'Equipamiento y listas'!$L$49:$L$61)</f>
        <v>#VALUE!</v>
      </c>
      <c r="CN76" s="1" t="s">
        <v>196</v>
      </c>
      <c r="CO76" s="35" t="e">
        <f t="shared" si="10"/>
        <v>#VALUE!</v>
      </c>
      <c r="CP76" s="1" t="s">
        <v>318</v>
      </c>
    </row>
    <row r="77" spans="2:94" ht="18" customHeight="1" x14ac:dyDescent="0.25">
      <c r="B77" s="580" t="s">
        <v>324</v>
      </c>
      <c r="C77" s="581"/>
      <c r="D77" s="581"/>
      <c r="E77" s="581"/>
      <c r="F77" s="581"/>
      <c r="G77" s="677"/>
      <c r="H77" s="29" t="s">
        <v>140</v>
      </c>
      <c r="I77" s="29" t="s">
        <v>168</v>
      </c>
      <c r="J77" s="29">
        <f>IF('Información general'!L42&gt;=0.25%,4-1,6-1)</f>
        <v>3</v>
      </c>
      <c r="K77" s="608" t="s">
        <v>150</v>
      </c>
      <c r="L77" s="608"/>
      <c r="M77" s="608"/>
      <c r="N77" s="608"/>
      <c r="O77" s="90">
        <v>1</v>
      </c>
      <c r="P77" s="132">
        <v>1</v>
      </c>
      <c r="Q77" s="100">
        <f>IF('Información general'!$L$41&gt;=0.25%,_xlfn.STDEV.S('Toma de datos'!G92:J92),_xlfn.STDEV.S('Toma de datos'!G92:L92))/SQRT($J$77+1)</f>
        <v>0</v>
      </c>
      <c r="R77" s="29" t="s">
        <v>196</v>
      </c>
      <c r="S77" s="100">
        <f>O77*Q77</f>
        <v>0</v>
      </c>
      <c r="T77" s="1" t="s">
        <v>196</v>
      </c>
      <c r="U77" s="101">
        <f t="shared" si="1"/>
        <v>0</v>
      </c>
      <c r="V77" s="1" t="s">
        <v>318</v>
      </c>
      <c r="W77" s="90">
        <v>1</v>
      </c>
      <c r="X77" s="132">
        <v>1</v>
      </c>
      <c r="Y77" s="100">
        <f>IF('Información general'!$L$41&gt;=0.25%,_xlfn.STDEV.S('Toma de datos'!G93:J93),_xlfn.STDEV.S('Toma de datos'!G93:L93))/SQRT($J$77+1)</f>
        <v>0</v>
      </c>
      <c r="Z77" s="29" t="s">
        <v>196</v>
      </c>
      <c r="AA77" s="100">
        <f>W77*Y77</f>
        <v>0</v>
      </c>
      <c r="AB77" s="1" t="s">
        <v>196</v>
      </c>
      <c r="AC77" s="101">
        <f t="shared" si="2"/>
        <v>0</v>
      </c>
      <c r="AD77" s="1" t="s">
        <v>318</v>
      </c>
      <c r="AE77" s="122">
        <v>1</v>
      </c>
      <c r="AF77" s="132">
        <v>1</v>
      </c>
      <c r="AG77" s="100">
        <f>IF('Información general'!$L$41&gt;=0.25%,_xlfn.STDEV.S('Toma de datos'!G94:J94),_xlfn.STDEV.S('Toma de datos'!G94:L94))/SQRT($J$77+1)</f>
        <v>0</v>
      </c>
      <c r="AH77" s="29" t="s">
        <v>196</v>
      </c>
      <c r="AI77" s="100">
        <f>AE77*AG77</f>
        <v>0</v>
      </c>
      <c r="AJ77" s="1" t="s">
        <v>196</v>
      </c>
      <c r="AK77" s="101">
        <f t="shared" si="3"/>
        <v>0</v>
      </c>
      <c r="AL77" s="1" t="s">
        <v>318</v>
      </c>
      <c r="AM77" s="122">
        <v>1</v>
      </c>
      <c r="AN77" s="132">
        <v>1</v>
      </c>
      <c r="AO77" s="100">
        <f>IF('Información general'!$L$41&gt;=0.25%,_xlfn.STDEV.S('Toma de datos'!G95:J95),_xlfn.STDEV.S('Toma de datos'!G95:L95))/SQRT($J$77+1)</f>
        <v>0</v>
      </c>
      <c r="AP77" s="29" t="s">
        <v>196</v>
      </c>
      <c r="AQ77" s="100">
        <f>AM77*AO77</f>
        <v>0</v>
      </c>
      <c r="AR77" s="1" t="s">
        <v>196</v>
      </c>
      <c r="AS77" s="101">
        <f t="shared" si="4"/>
        <v>0</v>
      </c>
      <c r="AT77" s="1" t="s">
        <v>318</v>
      </c>
      <c r="AU77" s="122">
        <v>1</v>
      </c>
      <c r="AV77" s="132">
        <v>1</v>
      </c>
      <c r="AW77" s="100">
        <f>IF('Información general'!$L$41&gt;=0.25%,_xlfn.STDEV.S('Toma de datos'!G96:J96),_xlfn.STDEV.S('Toma de datos'!G96:L96))/SQRT($J$77+1)</f>
        <v>0</v>
      </c>
      <c r="AX77" s="29" t="s">
        <v>196</v>
      </c>
      <c r="AY77" s="100">
        <f>AU77*AW77</f>
        <v>0</v>
      </c>
      <c r="AZ77" s="1" t="s">
        <v>196</v>
      </c>
      <c r="BA77" s="101">
        <f t="shared" si="5"/>
        <v>0</v>
      </c>
      <c r="BB77" s="1" t="s">
        <v>318</v>
      </c>
      <c r="BC77" s="122">
        <v>1</v>
      </c>
      <c r="BD77" s="132">
        <v>1</v>
      </c>
      <c r="BE77" s="100">
        <f>IF('Información general'!$L$41&gt;=0.25%,_xlfn.STDEV.S('Toma de datos'!G97:J97),_xlfn.STDEV.S('Toma de datos'!G97:L97))/SQRT($J$77+1)</f>
        <v>0</v>
      </c>
      <c r="BF77" s="29" t="s">
        <v>196</v>
      </c>
      <c r="BG77" s="100">
        <f>BC77*BE77</f>
        <v>0</v>
      </c>
      <c r="BH77" s="1" t="s">
        <v>196</v>
      </c>
      <c r="BI77" s="101">
        <f t="shared" si="6"/>
        <v>0</v>
      </c>
      <c r="BJ77" s="1" t="s">
        <v>318</v>
      </c>
      <c r="BK77" s="122">
        <v>1</v>
      </c>
      <c r="BL77" s="132">
        <v>1</v>
      </c>
      <c r="BM77" s="100">
        <f>IF('Información general'!$L$41&gt;=0.25%,_xlfn.STDEV.S('Toma de datos'!G98:J98),_xlfn.STDEV.S('Toma de datos'!G98:L98))/SQRT($J$77+1)</f>
        <v>0</v>
      </c>
      <c r="BN77" s="29" t="s">
        <v>196</v>
      </c>
      <c r="BO77" s="100">
        <f>BK77*BM77</f>
        <v>0</v>
      </c>
      <c r="BP77" s="1" t="s">
        <v>196</v>
      </c>
      <c r="BQ77" s="101">
        <f t="shared" si="7"/>
        <v>0</v>
      </c>
      <c r="BR77" s="1" t="s">
        <v>318</v>
      </c>
      <c r="BS77" s="122">
        <v>1</v>
      </c>
      <c r="BT77" s="132">
        <v>1</v>
      </c>
      <c r="BU77" s="100">
        <f>IF('Información general'!$L$41&gt;=0.25%,_xlfn.STDEV.S('Toma de datos'!G99:J99),_xlfn.STDEV.S('Toma de datos'!G99:L99))/SQRT($J$77+1)</f>
        <v>0</v>
      </c>
      <c r="BV77" s="29" t="s">
        <v>196</v>
      </c>
      <c r="BW77" s="100">
        <f>BS77*BU77</f>
        <v>0</v>
      </c>
      <c r="BX77" s="1" t="s">
        <v>196</v>
      </c>
      <c r="BY77" s="101">
        <f t="shared" si="8"/>
        <v>0</v>
      </c>
      <c r="BZ77" s="1" t="s">
        <v>318</v>
      </c>
      <c r="CA77" s="122">
        <v>1</v>
      </c>
      <c r="CB77" s="132">
        <v>1</v>
      </c>
      <c r="CC77" s="26">
        <f>IF('Información general'!$L$41&gt;=0.25%,_xlfn.STDEV.S('Toma de datos'!G100:J100),_xlfn.STDEV.S('Toma de datos'!G100:L100))/SQRT($J$77+1)</f>
        <v>0</v>
      </c>
      <c r="CD77" s="50" t="s">
        <v>196</v>
      </c>
      <c r="CE77" s="100">
        <f>CA77*CC77</f>
        <v>0</v>
      </c>
      <c r="CF77" s="27" t="s">
        <v>196</v>
      </c>
      <c r="CG77" s="95">
        <f t="shared" si="9"/>
        <v>0</v>
      </c>
      <c r="CH77" s="124" t="s">
        <v>318</v>
      </c>
      <c r="CI77" s="2">
        <v>1</v>
      </c>
      <c r="CJ77" s="132">
        <v>1</v>
      </c>
      <c r="CK77" s="100">
        <f>IF('Información general'!$L$41&gt;=0.25%,_xlfn.STDEV.S('Toma de datos'!G101:J101),_xlfn.STDEV.S('Toma de datos'!G101:L101))/SQRT($J$77+1)</f>
        <v>0</v>
      </c>
      <c r="CL77" s="29" t="s">
        <v>196</v>
      </c>
      <c r="CM77" s="100">
        <f>CI77*CK77</f>
        <v>0</v>
      </c>
      <c r="CN77" s="1" t="s">
        <v>196</v>
      </c>
      <c r="CO77" s="101">
        <f t="shared" si="10"/>
        <v>0</v>
      </c>
      <c r="CP77" s="1" t="s">
        <v>318</v>
      </c>
    </row>
    <row r="78" spans="2:94" ht="18" customHeight="1" x14ac:dyDescent="0.25">
      <c r="B78" s="25"/>
      <c r="C78" s="25"/>
      <c r="D78" s="24"/>
      <c r="E78" s="24"/>
      <c r="F78" s="24"/>
      <c r="G78" s="24"/>
      <c r="H78" s="25"/>
      <c r="I78" s="25"/>
      <c r="J78" s="25"/>
      <c r="K78" s="24"/>
      <c r="L78" s="24"/>
      <c r="M78" s="24"/>
      <c r="N78" s="24"/>
      <c r="O78" s="537" t="s">
        <v>157</v>
      </c>
      <c r="P78" s="505"/>
      <c r="Q78" s="505"/>
      <c r="R78" s="505"/>
      <c r="S78" s="505"/>
      <c r="T78" s="505"/>
      <c r="U78" s="505"/>
      <c r="V78" s="505"/>
      <c r="W78" s="504" t="s">
        <v>381</v>
      </c>
      <c r="X78" s="505"/>
      <c r="Y78" s="505"/>
      <c r="Z78" s="505"/>
      <c r="AA78" s="505"/>
      <c r="AB78" s="505"/>
      <c r="AC78" s="505"/>
      <c r="AD78" s="598"/>
      <c r="AE78" s="504" t="s">
        <v>382</v>
      </c>
      <c r="AF78" s="505"/>
      <c r="AG78" s="505"/>
      <c r="AH78" s="505"/>
      <c r="AI78" s="505"/>
      <c r="AJ78" s="505"/>
      <c r="AK78" s="505"/>
      <c r="AL78" s="598"/>
      <c r="AM78" s="504" t="s">
        <v>383</v>
      </c>
      <c r="AN78" s="505"/>
      <c r="AO78" s="505"/>
      <c r="AP78" s="505"/>
      <c r="AQ78" s="505"/>
      <c r="AR78" s="505"/>
      <c r="AS78" s="505"/>
      <c r="AT78" s="598"/>
      <c r="AU78" s="504" t="s">
        <v>384</v>
      </c>
      <c r="AV78" s="505"/>
      <c r="AW78" s="505"/>
      <c r="AX78" s="505"/>
      <c r="AY78" s="505"/>
      <c r="AZ78" s="505"/>
      <c r="BA78" s="505"/>
      <c r="BB78" s="598"/>
      <c r="BC78" s="504" t="s">
        <v>385</v>
      </c>
      <c r="BD78" s="505"/>
      <c r="BE78" s="505"/>
      <c r="BF78" s="505"/>
      <c r="BG78" s="505"/>
      <c r="BH78" s="505"/>
      <c r="BI78" s="505"/>
      <c r="BJ78" s="598"/>
      <c r="BK78" s="504" t="s">
        <v>386</v>
      </c>
      <c r="BL78" s="505"/>
      <c r="BM78" s="505"/>
      <c r="BN78" s="505"/>
      <c r="BO78" s="505"/>
      <c r="BP78" s="505"/>
      <c r="BQ78" s="505"/>
      <c r="BR78" s="598"/>
      <c r="BS78" s="504" t="s">
        <v>387</v>
      </c>
      <c r="BT78" s="505"/>
      <c r="BU78" s="505"/>
      <c r="BV78" s="505"/>
      <c r="BW78" s="505"/>
      <c r="BX78" s="505"/>
      <c r="BY78" s="505"/>
      <c r="BZ78" s="598"/>
      <c r="CA78" s="504" t="s">
        <v>388</v>
      </c>
      <c r="CB78" s="505"/>
      <c r="CC78" s="505"/>
      <c r="CD78" s="505"/>
      <c r="CE78" s="505"/>
      <c r="CF78" s="505"/>
      <c r="CG78" s="505"/>
      <c r="CH78" s="598"/>
      <c r="CI78" s="504" t="s">
        <v>389</v>
      </c>
      <c r="CJ78" s="505"/>
      <c r="CK78" s="505"/>
      <c r="CL78" s="505"/>
      <c r="CM78" s="505"/>
      <c r="CN78" s="505"/>
      <c r="CO78" s="505"/>
      <c r="CP78" s="506"/>
    </row>
    <row r="79" spans="2:94" ht="18" customHeight="1" x14ac:dyDescent="0.25">
      <c r="B79" s="25"/>
      <c r="C79" s="25"/>
      <c r="D79" s="24"/>
      <c r="E79" s="24"/>
      <c r="F79" s="24"/>
      <c r="G79" s="24"/>
      <c r="H79" s="25"/>
      <c r="I79" s="25"/>
      <c r="J79" s="25"/>
      <c r="K79" s="24"/>
      <c r="L79" s="24"/>
      <c r="M79" s="24"/>
      <c r="N79" s="24"/>
      <c r="O79" s="682"/>
      <c r="P79" s="511"/>
      <c r="Q79" s="511"/>
      <c r="R79" s="511"/>
      <c r="S79" s="511"/>
      <c r="T79" s="511"/>
      <c r="U79" s="511"/>
      <c r="V79" s="511"/>
      <c r="W79" s="510"/>
      <c r="X79" s="511"/>
      <c r="Y79" s="511"/>
      <c r="Z79" s="511"/>
      <c r="AA79" s="511"/>
      <c r="AB79" s="511"/>
      <c r="AC79" s="511"/>
      <c r="AD79" s="532"/>
      <c r="AE79" s="510"/>
      <c r="AF79" s="511"/>
      <c r="AG79" s="511"/>
      <c r="AH79" s="511"/>
      <c r="AI79" s="511"/>
      <c r="AJ79" s="511"/>
      <c r="AK79" s="511"/>
      <c r="AL79" s="532"/>
      <c r="AM79" s="510"/>
      <c r="AN79" s="511"/>
      <c r="AO79" s="511"/>
      <c r="AP79" s="511"/>
      <c r="AQ79" s="511"/>
      <c r="AR79" s="511"/>
      <c r="AS79" s="511"/>
      <c r="AT79" s="532"/>
      <c r="AU79" s="510"/>
      <c r="AV79" s="511"/>
      <c r="AW79" s="511"/>
      <c r="AX79" s="511"/>
      <c r="AY79" s="511"/>
      <c r="AZ79" s="511"/>
      <c r="BA79" s="511"/>
      <c r="BB79" s="532"/>
      <c r="BC79" s="510"/>
      <c r="BD79" s="511"/>
      <c r="BE79" s="511"/>
      <c r="BF79" s="511"/>
      <c r="BG79" s="511"/>
      <c r="BH79" s="511"/>
      <c r="BI79" s="511"/>
      <c r="BJ79" s="532"/>
      <c r="BK79" s="510"/>
      <c r="BL79" s="511"/>
      <c r="BM79" s="511"/>
      <c r="BN79" s="511"/>
      <c r="BO79" s="511"/>
      <c r="BP79" s="511"/>
      <c r="BQ79" s="511"/>
      <c r="BR79" s="532"/>
      <c r="BS79" s="510"/>
      <c r="BT79" s="511"/>
      <c r="BU79" s="511"/>
      <c r="BV79" s="511"/>
      <c r="BW79" s="511"/>
      <c r="BX79" s="511"/>
      <c r="BY79" s="511"/>
      <c r="BZ79" s="532"/>
      <c r="CA79" s="510"/>
      <c r="CB79" s="511"/>
      <c r="CC79" s="511"/>
      <c r="CD79" s="511"/>
      <c r="CE79" s="511"/>
      <c r="CF79" s="511"/>
      <c r="CG79" s="511"/>
      <c r="CH79" s="532"/>
      <c r="CI79" s="510"/>
      <c r="CJ79" s="511"/>
      <c r="CK79" s="511"/>
      <c r="CL79" s="511"/>
      <c r="CM79" s="511"/>
      <c r="CN79" s="511"/>
      <c r="CO79" s="511"/>
      <c r="CP79" s="512"/>
    </row>
    <row r="80" spans="2:94" ht="18" customHeight="1" x14ac:dyDescent="0.25">
      <c r="O80" s="686" t="s">
        <v>155</v>
      </c>
      <c r="P80" s="646"/>
      <c r="Q80" s="646"/>
      <c r="R80" s="646"/>
      <c r="S80" s="647"/>
      <c r="T80" s="638" t="e">
        <f>SQRT(SUM(U63:U77))</f>
        <v>#N/A</v>
      </c>
      <c r="U80" s="639"/>
      <c r="V80" s="98" t="s">
        <v>196</v>
      </c>
      <c r="W80" s="645" t="s">
        <v>155</v>
      </c>
      <c r="X80" s="646"/>
      <c r="Y80" s="646"/>
      <c r="Z80" s="646"/>
      <c r="AA80" s="647"/>
      <c r="AB80" s="638" t="e">
        <f>SQRT(SUM(AC63:AC77))</f>
        <v>#N/A</v>
      </c>
      <c r="AC80" s="639"/>
      <c r="AD80" s="99" t="s">
        <v>196</v>
      </c>
      <c r="AE80" s="645" t="s">
        <v>155</v>
      </c>
      <c r="AF80" s="646"/>
      <c r="AG80" s="646"/>
      <c r="AH80" s="646"/>
      <c r="AI80" s="647"/>
      <c r="AJ80" s="638" t="e">
        <f>SQRT(SUM(AK63:AK77))</f>
        <v>#N/A</v>
      </c>
      <c r="AK80" s="639"/>
      <c r="AL80" s="99" t="s">
        <v>196</v>
      </c>
      <c r="AM80" s="645" t="s">
        <v>155</v>
      </c>
      <c r="AN80" s="646"/>
      <c r="AO80" s="646"/>
      <c r="AP80" s="646"/>
      <c r="AQ80" s="647"/>
      <c r="AR80" s="638" t="e">
        <f>SQRT(SUM(AS63:AS77))</f>
        <v>#N/A</v>
      </c>
      <c r="AS80" s="639"/>
      <c r="AT80" s="99" t="s">
        <v>196</v>
      </c>
      <c r="AU80" s="645" t="s">
        <v>155</v>
      </c>
      <c r="AV80" s="646"/>
      <c r="AW80" s="646"/>
      <c r="AX80" s="646"/>
      <c r="AY80" s="647"/>
      <c r="AZ80" s="638" t="e">
        <f>SQRT(SUM(BA63:BA77))</f>
        <v>#N/A</v>
      </c>
      <c r="BA80" s="639"/>
      <c r="BB80" s="99" t="s">
        <v>196</v>
      </c>
      <c r="BC80" s="645" t="s">
        <v>155</v>
      </c>
      <c r="BD80" s="646"/>
      <c r="BE80" s="646"/>
      <c r="BF80" s="646"/>
      <c r="BG80" s="647"/>
      <c r="BH80" s="638" t="e">
        <f>SQRT(SUM(BI63:BI77))</f>
        <v>#N/A</v>
      </c>
      <c r="BI80" s="639"/>
      <c r="BJ80" s="99" t="s">
        <v>196</v>
      </c>
      <c r="BK80" s="645" t="s">
        <v>155</v>
      </c>
      <c r="BL80" s="646"/>
      <c r="BM80" s="646"/>
      <c r="BN80" s="646"/>
      <c r="BO80" s="647"/>
      <c r="BP80" s="638" t="e">
        <f>SQRT(SUM(BQ63:BQ77))</f>
        <v>#N/A</v>
      </c>
      <c r="BQ80" s="639"/>
      <c r="BR80" s="99" t="s">
        <v>196</v>
      </c>
      <c r="BS80" s="645" t="s">
        <v>155</v>
      </c>
      <c r="BT80" s="646"/>
      <c r="BU80" s="646"/>
      <c r="BV80" s="646"/>
      <c r="BW80" s="647"/>
      <c r="BX80" s="638" t="e">
        <f>SQRT(SUM(BY63:BY77))</f>
        <v>#N/A</v>
      </c>
      <c r="BY80" s="639"/>
      <c r="BZ80" s="99" t="s">
        <v>196</v>
      </c>
      <c r="CA80" s="645" t="s">
        <v>155</v>
      </c>
      <c r="CB80" s="646"/>
      <c r="CC80" s="646"/>
      <c r="CD80" s="646"/>
      <c r="CE80" s="647"/>
      <c r="CF80" s="638" t="e">
        <f>SQRT(SUM(CG63:CG77))</f>
        <v>#N/A</v>
      </c>
      <c r="CG80" s="639"/>
      <c r="CH80" s="99" t="s">
        <v>196</v>
      </c>
      <c r="CI80" s="645" t="s">
        <v>155</v>
      </c>
      <c r="CJ80" s="646"/>
      <c r="CK80" s="646"/>
      <c r="CL80" s="646"/>
      <c r="CM80" s="647"/>
      <c r="CN80" s="638" t="e">
        <f>SQRT(SUM(CO63:CO77))</f>
        <v>#N/A</v>
      </c>
      <c r="CO80" s="639"/>
      <c r="CP80" s="50" t="s">
        <v>196</v>
      </c>
    </row>
    <row r="81" spans="1:94" ht="18" customHeight="1" x14ac:dyDescent="0.25">
      <c r="O81" s="603" t="s">
        <v>127</v>
      </c>
      <c r="P81" s="604"/>
      <c r="Q81" s="604"/>
      <c r="R81" s="604"/>
      <c r="S81" s="605"/>
      <c r="T81" s="633" t="e">
        <f>(T80^4)/SUMPRODUCT(U63:U77,U63:U77,1/$J$63:$J$77)</f>
        <v>#N/A</v>
      </c>
      <c r="U81" s="634"/>
      <c r="V81" s="632"/>
      <c r="W81" s="648" t="s">
        <v>127</v>
      </c>
      <c r="X81" s="604"/>
      <c r="Y81" s="604"/>
      <c r="Z81" s="604"/>
      <c r="AA81" s="605"/>
      <c r="AB81" s="633" t="e">
        <f>(AB80^4)/SUMPRODUCT(AC63:AC77,AC63:AC77,1/$J$63:$J$77)</f>
        <v>#N/A</v>
      </c>
      <c r="AC81" s="634"/>
      <c r="AD81" s="658"/>
      <c r="AE81" s="648" t="s">
        <v>127</v>
      </c>
      <c r="AF81" s="604"/>
      <c r="AG81" s="604"/>
      <c r="AH81" s="604"/>
      <c r="AI81" s="605"/>
      <c r="AJ81" s="633" t="e">
        <f>(AJ80^4)/SUMPRODUCT(AK63:AK77,AK63:AK77,1/$J$63:$J$77)</f>
        <v>#N/A</v>
      </c>
      <c r="AK81" s="634"/>
      <c r="AL81" s="658"/>
      <c r="AM81" s="648" t="s">
        <v>127</v>
      </c>
      <c r="AN81" s="604"/>
      <c r="AO81" s="604"/>
      <c r="AP81" s="604"/>
      <c r="AQ81" s="605"/>
      <c r="AR81" s="633" t="e">
        <f>(AR80^4)/SUMPRODUCT(AS63:AS77,AS63:AS77,1/$J$63:$J$77)</f>
        <v>#N/A</v>
      </c>
      <c r="AS81" s="634"/>
      <c r="AT81" s="658"/>
      <c r="AU81" s="648" t="s">
        <v>127</v>
      </c>
      <c r="AV81" s="604"/>
      <c r="AW81" s="604"/>
      <c r="AX81" s="604"/>
      <c r="AY81" s="605"/>
      <c r="AZ81" s="633" t="e">
        <f>(AZ80^4)/SUMPRODUCT(BA63:BA77,BA63:BA77,1/$J$63:$J$77)</f>
        <v>#N/A</v>
      </c>
      <c r="BA81" s="634"/>
      <c r="BB81" s="658"/>
      <c r="BC81" s="648" t="s">
        <v>127</v>
      </c>
      <c r="BD81" s="604"/>
      <c r="BE81" s="604"/>
      <c r="BF81" s="604"/>
      <c r="BG81" s="605"/>
      <c r="BH81" s="633" t="e">
        <f>(BH80^4)/SUMPRODUCT(BI63:BI77,BI63:BI77,1/$J$63:$J$77)</f>
        <v>#N/A</v>
      </c>
      <c r="BI81" s="634"/>
      <c r="BJ81" s="658"/>
      <c r="BK81" s="648" t="s">
        <v>127</v>
      </c>
      <c r="BL81" s="604"/>
      <c r="BM81" s="604"/>
      <c r="BN81" s="604"/>
      <c r="BO81" s="605"/>
      <c r="BP81" s="633" t="e">
        <f>(BP80^4)/SUMPRODUCT(BQ63:BQ77,BQ63:BQ77,1/$J$63:$J$77)</f>
        <v>#N/A</v>
      </c>
      <c r="BQ81" s="634"/>
      <c r="BR81" s="658"/>
      <c r="BS81" s="648" t="s">
        <v>127</v>
      </c>
      <c r="BT81" s="604"/>
      <c r="BU81" s="604"/>
      <c r="BV81" s="604"/>
      <c r="BW81" s="605"/>
      <c r="BX81" s="633" t="e">
        <f>(BX80^4)/SUMPRODUCT(BY63:BY77,BY63:BY77,1/$J$63:$J$77)</f>
        <v>#N/A</v>
      </c>
      <c r="BY81" s="634"/>
      <c r="BZ81" s="658"/>
      <c r="CA81" s="648" t="s">
        <v>127</v>
      </c>
      <c r="CB81" s="604"/>
      <c r="CC81" s="604"/>
      <c r="CD81" s="604"/>
      <c r="CE81" s="605"/>
      <c r="CF81" s="633" t="e">
        <f>(CF80^4)/SUMPRODUCT(CG63:CG77,CG63:CG77,1/$J$63:$J$77)</f>
        <v>#N/A</v>
      </c>
      <c r="CG81" s="634"/>
      <c r="CH81" s="658"/>
      <c r="CI81" s="648" t="s">
        <v>127</v>
      </c>
      <c r="CJ81" s="604"/>
      <c r="CK81" s="604"/>
      <c r="CL81" s="604"/>
      <c r="CM81" s="605"/>
      <c r="CN81" s="633" t="e">
        <f>(CN80^4)/SUMPRODUCT(CO63:CO77,CO63:CO77,1/$J$63:$J$77)</f>
        <v>#N/A</v>
      </c>
      <c r="CO81" s="634"/>
      <c r="CP81" s="640"/>
    </row>
    <row r="82" spans="1:94" ht="18" customHeight="1" x14ac:dyDescent="0.25">
      <c r="O82" s="603" t="s">
        <v>158</v>
      </c>
      <c r="P82" s="604"/>
      <c r="Q82" s="604"/>
      <c r="R82" s="604"/>
      <c r="S82" s="605"/>
      <c r="T82" s="641">
        <v>0.95</v>
      </c>
      <c r="U82" s="642"/>
      <c r="V82" s="632"/>
      <c r="W82" s="648" t="s">
        <v>158</v>
      </c>
      <c r="X82" s="604"/>
      <c r="Y82" s="604"/>
      <c r="Z82" s="604"/>
      <c r="AA82" s="605"/>
      <c r="AB82" s="641">
        <v>0.95</v>
      </c>
      <c r="AC82" s="642"/>
      <c r="AD82" s="658"/>
      <c r="AE82" s="648" t="s">
        <v>158</v>
      </c>
      <c r="AF82" s="604"/>
      <c r="AG82" s="604"/>
      <c r="AH82" s="604"/>
      <c r="AI82" s="605"/>
      <c r="AJ82" s="641">
        <v>0.95</v>
      </c>
      <c r="AK82" s="642"/>
      <c r="AL82" s="658"/>
      <c r="AM82" s="648" t="s">
        <v>158</v>
      </c>
      <c r="AN82" s="604"/>
      <c r="AO82" s="604"/>
      <c r="AP82" s="604"/>
      <c r="AQ82" s="605"/>
      <c r="AR82" s="641">
        <v>0.95</v>
      </c>
      <c r="AS82" s="642"/>
      <c r="AT82" s="658"/>
      <c r="AU82" s="648" t="s">
        <v>158</v>
      </c>
      <c r="AV82" s="604"/>
      <c r="AW82" s="604"/>
      <c r="AX82" s="604"/>
      <c r="AY82" s="605"/>
      <c r="AZ82" s="641">
        <v>0.95</v>
      </c>
      <c r="BA82" s="642"/>
      <c r="BB82" s="658"/>
      <c r="BC82" s="648" t="s">
        <v>158</v>
      </c>
      <c r="BD82" s="604"/>
      <c r="BE82" s="604"/>
      <c r="BF82" s="604"/>
      <c r="BG82" s="605"/>
      <c r="BH82" s="641">
        <v>0.95</v>
      </c>
      <c r="BI82" s="642"/>
      <c r="BJ82" s="658"/>
      <c r="BK82" s="648" t="s">
        <v>158</v>
      </c>
      <c r="BL82" s="604"/>
      <c r="BM82" s="604"/>
      <c r="BN82" s="604"/>
      <c r="BO82" s="605"/>
      <c r="BP82" s="641">
        <v>0.95</v>
      </c>
      <c r="BQ82" s="642"/>
      <c r="BR82" s="658"/>
      <c r="BS82" s="648" t="s">
        <v>158</v>
      </c>
      <c r="BT82" s="604"/>
      <c r="BU82" s="604"/>
      <c r="BV82" s="604"/>
      <c r="BW82" s="605"/>
      <c r="BX82" s="641">
        <v>0.95</v>
      </c>
      <c r="BY82" s="642"/>
      <c r="BZ82" s="658"/>
      <c r="CA82" s="648" t="s">
        <v>158</v>
      </c>
      <c r="CB82" s="604"/>
      <c r="CC82" s="604"/>
      <c r="CD82" s="604"/>
      <c r="CE82" s="605"/>
      <c r="CF82" s="641">
        <v>0.95</v>
      </c>
      <c r="CG82" s="642"/>
      <c r="CH82" s="658"/>
      <c r="CI82" s="648" t="s">
        <v>158</v>
      </c>
      <c r="CJ82" s="604"/>
      <c r="CK82" s="604"/>
      <c r="CL82" s="604"/>
      <c r="CM82" s="605"/>
      <c r="CN82" s="641">
        <v>0.95</v>
      </c>
      <c r="CO82" s="642"/>
      <c r="CP82" s="640"/>
    </row>
    <row r="83" spans="1:94" ht="18" customHeight="1" x14ac:dyDescent="0.25">
      <c r="O83" s="603" t="s">
        <v>58</v>
      </c>
      <c r="P83" s="604"/>
      <c r="Q83" s="604"/>
      <c r="R83" s="604"/>
      <c r="S83" s="605"/>
      <c r="T83" s="643" t="e">
        <f>_xlfn.T.INV.2T(1-T82,T81)</f>
        <v>#N/A</v>
      </c>
      <c r="U83" s="644"/>
      <c r="V83" s="632"/>
      <c r="W83" s="648" t="s">
        <v>58</v>
      </c>
      <c r="X83" s="604"/>
      <c r="Y83" s="604"/>
      <c r="Z83" s="604"/>
      <c r="AA83" s="605"/>
      <c r="AB83" s="643" t="e">
        <f>_xlfn.T.INV.2T(1-AB82,AB81)</f>
        <v>#N/A</v>
      </c>
      <c r="AC83" s="644"/>
      <c r="AD83" s="658"/>
      <c r="AE83" s="648" t="s">
        <v>58</v>
      </c>
      <c r="AF83" s="604"/>
      <c r="AG83" s="604"/>
      <c r="AH83" s="604"/>
      <c r="AI83" s="605"/>
      <c r="AJ83" s="643" t="e">
        <f>_xlfn.T.INV.2T(1-AJ82,AJ81)</f>
        <v>#N/A</v>
      </c>
      <c r="AK83" s="644"/>
      <c r="AL83" s="658"/>
      <c r="AM83" s="648" t="s">
        <v>58</v>
      </c>
      <c r="AN83" s="604"/>
      <c r="AO83" s="604"/>
      <c r="AP83" s="604"/>
      <c r="AQ83" s="605"/>
      <c r="AR83" s="643" t="e">
        <f>_xlfn.T.INV.2T(1-AR82,AR81)</f>
        <v>#N/A</v>
      </c>
      <c r="AS83" s="644"/>
      <c r="AT83" s="658"/>
      <c r="AU83" s="648" t="s">
        <v>58</v>
      </c>
      <c r="AV83" s="604"/>
      <c r="AW83" s="604"/>
      <c r="AX83" s="604"/>
      <c r="AY83" s="605"/>
      <c r="AZ83" s="643" t="e">
        <f>_xlfn.T.INV.2T(1-AZ82,AZ81)</f>
        <v>#N/A</v>
      </c>
      <c r="BA83" s="644"/>
      <c r="BB83" s="658"/>
      <c r="BC83" s="648" t="s">
        <v>58</v>
      </c>
      <c r="BD83" s="604"/>
      <c r="BE83" s="604"/>
      <c r="BF83" s="604"/>
      <c r="BG83" s="605"/>
      <c r="BH83" s="643" t="e">
        <f>_xlfn.T.INV.2T(1-BH82,BH81)</f>
        <v>#N/A</v>
      </c>
      <c r="BI83" s="644"/>
      <c r="BJ83" s="658"/>
      <c r="BK83" s="648" t="s">
        <v>58</v>
      </c>
      <c r="BL83" s="604"/>
      <c r="BM83" s="604"/>
      <c r="BN83" s="604"/>
      <c r="BO83" s="605"/>
      <c r="BP83" s="643" t="e">
        <f>_xlfn.T.INV.2T(1-BP82,BP81)</f>
        <v>#N/A</v>
      </c>
      <c r="BQ83" s="644"/>
      <c r="BR83" s="658"/>
      <c r="BS83" s="648" t="s">
        <v>58</v>
      </c>
      <c r="BT83" s="604"/>
      <c r="BU83" s="604"/>
      <c r="BV83" s="604"/>
      <c r="BW83" s="605"/>
      <c r="BX83" s="643" t="e">
        <f>_xlfn.T.INV.2T(1-BX82,BX81)</f>
        <v>#N/A</v>
      </c>
      <c r="BY83" s="644"/>
      <c r="BZ83" s="658"/>
      <c r="CA83" s="648" t="s">
        <v>58</v>
      </c>
      <c r="CB83" s="604"/>
      <c r="CC83" s="604"/>
      <c r="CD83" s="604"/>
      <c r="CE83" s="605"/>
      <c r="CF83" s="643" t="e">
        <f>_xlfn.T.INV.2T(1-CF82,CF81)</f>
        <v>#N/A</v>
      </c>
      <c r="CG83" s="644"/>
      <c r="CH83" s="658"/>
      <c r="CI83" s="648" t="s">
        <v>58</v>
      </c>
      <c r="CJ83" s="604"/>
      <c r="CK83" s="604"/>
      <c r="CL83" s="604"/>
      <c r="CM83" s="605"/>
      <c r="CN83" s="643" t="e">
        <f>_xlfn.T.INV.2T(1-CN82,CN81)</f>
        <v>#N/A</v>
      </c>
      <c r="CO83" s="644"/>
      <c r="CP83" s="640"/>
    </row>
    <row r="84" spans="1:94" ht="18" customHeight="1" x14ac:dyDescent="0.25">
      <c r="O84" s="680" t="s">
        <v>156</v>
      </c>
      <c r="P84" s="584"/>
      <c r="Q84" s="584"/>
      <c r="R84" s="584"/>
      <c r="S84" s="681"/>
      <c r="T84" s="628" t="e">
        <f>T83*T80</f>
        <v>#N/A</v>
      </c>
      <c r="U84" s="629"/>
      <c r="V84" s="96" t="s">
        <v>196</v>
      </c>
      <c r="W84" s="583" t="s">
        <v>156</v>
      </c>
      <c r="X84" s="584"/>
      <c r="Y84" s="584"/>
      <c r="Z84" s="584"/>
      <c r="AA84" s="681"/>
      <c r="AB84" s="628" t="e">
        <f>AB83*AB80</f>
        <v>#N/A</v>
      </c>
      <c r="AC84" s="629"/>
      <c r="AD84" s="97" t="s">
        <v>196</v>
      </c>
      <c r="AE84" s="583" t="s">
        <v>156</v>
      </c>
      <c r="AF84" s="584"/>
      <c r="AG84" s="584"/>
      <c r="AH84" s="584"/>
      <c r="AI84" s="681"/>
      <c r="AJ84" s="628" t="e">
        <f>AJ83*AJ80</f>
        <v>#N/A</v>
      </c>
      <c r="AK84" s="629"/>
      <c r="AL84" s="97" t="s">
        <v>196</v>
      </c>
      <c r="AM84" s="583" t="s">
        <v>156</v>
      </c>
      <c r="AN84" s="584"/>
      <c r="AO84" s="584"/>
      <c r="AP84" s="584"/>
      <c r="AQ84" s="681"/>
      <c r="AR84" s="628" t="e">
        <f>AR83*AR80</f>
        <v>#N/A</v>
      </c>
      <c r="AS84" s="629"/>
      <c r="AT84" s="97" t="s">
        <v>196</v>
      </c>
      <c r="AU84" s="583" t="s">
        <v>156</v>
      </c>
      <c r="AV84" s="584"/>
      <c r="AW84" s="584"/>
      <c r="AX84" s="584"/>
      <c r="AY84" s="681"/>
      <c r="AZ84" s="628" t="e">
        <f>AZ83*AZ80</f>
        <v>#N/A</v>
      </c>
      <c r="BA84" s="629"/>
      <c r="BB84" s="97" t="s">
        <v>196</v>
      </c>
      <c r="BC84" s="583" t="s">
        <v>156</v>
      </c>
      <c r="BD84" s="584"/>
      <c r="BE84" s="584"/>
      <c r="BF84" s="584"/>
      <c r="BG84" s="681"/>
      <c r="BH84" s="628" t="e">
        <f>BH83*BH80</f>
        <v>#N/A</v>
      </c>
      <c r="BI84" s="629"/>
      <c r="BJ84" s="97" t="s">
        <v>196</v>
      </c>
      <c r="BK84" s="583" t="s">
        <v>156</v>
      </c>
      <c r="BL84" s="584"/>
      <c r="BM84" s="584"/>
      <c r="BN84" s="584"/>
      <c r="BO84" s="681"/>
      <c r="BP84" s="628" t="e">
        <f>BP83*BP80</f>
        <v>#N/A</v>
      </c>
      <c r="BQ84" s="629"/>
      <c r="BR84" s="97" t="s">
        <v>196</v>
      </c>
      <c r="BS84" s="583" t="s">
        <v>156</v>
      </c>
      <c r="BT84" s="584"/>
      <c r="BU84" s="584"/>
      <c r="BV84" s="584"/>
      <c r="BW84" s="681"/>
      <c r="BX84" s="628" t="e">
        <f>BX83*BX80</f>
        <v>#N/A</v>
      </c>
      <c r="BY84" s="629"/>
      <c r="BZ84" s="97" t="s">
        <v>196</v>
      </c>
      <c r="CA84" s="583" t="s">
        <v>156</v>
      </c>
      <c r="CB84" s="584"/>
      <c r="CC84" s="584"/>
      <c r="CD84" s="584"/>
      <c r="CE84" s="681"/>
      <c r="CF84" s="628" t="e">
        <f>CF83*CF80</f>
        <v>#N/A</v>
      </c>
      <c r="CG84" s="629"/>
      <c r="CH84" s="97" t="s">
        <v>196</v>
      </c>
      <c r="CI84" s="583" t="s">
        <v>156</v>
      </c>
      <c r="CJ84" s="584"/>
      <c r="CK84" s="584"/>
      <c r="CL84" s="584"/>
      <c r="CM84" s="681"/>
      <c r="CN84" s="628" t="e">
        <f>CN83*CN80</f>
        <v>#N/A</v>
      </c>
      <c r="CO84" s="629"/>
      <c r="CP84" s="29" t="s">
        <v>196</v>
      </c>
    </row>
    <row r="86" spans="1:94" ht="24.95" customHeight="1" x14ac:dyDescent="0.25">
      <c r="A86" s="612" t="s">
        <v>171</v>
      </c>
      <c r="B86" s="613"/>
      <c r="C86" s="613"/>
      <c r="D86" s="613"/>
      <c r="E86" s="613"/>
      <c r="F86" s="613"/>
      <c r="G86" s="613"/>
      <c r="H86" s="613"/>
      <c r="I86" s="613"/>
      <c r="J86" s="613"/>
      <c r="K86" s="613"/>
      <c r="L86" s="613"/>
      <c r="M86" s="613"/>
      <c r="N86" s="613"/>
      <c r="O86" s="613"/>
      <c r="P86" s="613"/>
      <c r="Q86" s="614"/>
    </row>
    <row r="88" spans="1:94" ht="15.95" customHeight="1" x14ac:dyDescent="0.25">
      <c r="B88" s="624" t="s">
        <v>170</v>
      </c>
      <c r="C88" s="625"/>
      <c r="D88" s="625"/>
      <c r="E88" s="625"/>
      <c r="F88" s="625"/>
      <c r="G88" s="625"/>
      <c r="H88" s="618" t="s">
        <v>173</v>
      </c>
      <c r="I88" s="618"/>
      <c r="J88" s="618"/>
      <c r="K88" s="618"/>
      <c r="L88" s="618"/>
      <c r="M88" s="618"/>
      <c r="N88" s="618"/>
      <c r="O88" s="618"/>
      <c r="P88" s="618"/>
      <c r="Q88" s="619"/>
    </row>
    <row r="89" spans="1:94" ht="15.95" customHeight="1" x14ac:dyDescent="0.25">
      <c r="B89" s="626"/>
      <c r="C89" s="627"/>
      <c r="D89" s="627"/>
      <c r="E89" s="627"/>
      <c r="F89" s="627"/>
      <c r="G89" s="627"/>
      <c r="H89" s="37" t="s">
        <v>174</v>
      </c>
      <c r="I89" s="37" t="s">
        <v>175</v>
      </c>
      <c r="J89" s="37" t="s">
        <v>176</v>
      </c>
      <c r="K89" s="37" t="s">
        <v>177</v>
      </c>
      <c r="L89" s="37" t="s">
        <v>178</v>
      </c>
      <c r="M89" s="37" t="s">
        <v>179</v>
      </c>
      <c r="N89" s="37" t="s">
        <v>180</v>
      </c>
      <c r="O89" s="37" t="s">
        <v>172</v>
      </c>
      <c r="P89" s="37" t="s">
        <v>181</v>
      </c>
      <c r="Q89" s="39" t="s">
        <v>182</v>
      </c>
    </row>
    <row r="90" spans="1:94" ht="15.95" customHeight="1" x14ac:dyDescent="0.25">
      <c r="B90" s="620" t="s">
        <v>449</v>
      </c>
      <c r="C90" s="621"/>
      <c r="D90" s="621"/>
      <c r="E90" s="621"/>
      <c r="F90" s="621"/>
      <c r="G90" s="621"/>
      <c r="H90" s="38" t="e">
        <f>U63/($T$80*$T$80)</f>
        <v>#N/A</v>
      </c>
      <c r="I90" s="38" t="e">
        <f t="shared" ref="I90:I104" si="11">AC63/($AB$80*$AB$80)</f>
        <v>#N/A</v>
      </c>
      <c r="J90" s="38" t="e">
        <f t="shared" ref="J90:J104" si="12">AK63/($AJ$80*$AJ$80)</f>
        <v>#N/A</v>
      </c>
      <c r="K90" s="38" t="e">
        <f t="shared" ref="K90:K104" si="13">AS63/($AR$80*$AR$80)</f>
        <v>#N/A</v>
      </c>
      <c r="L90" s="38" t="e">
        <f t="shared" ref="L90:L104" si="14">BA63/($AZ$80*$AZ$80)</f>
        <v>#N/A</v>
      </c>
      <c r="M90" s="38" t="e">
        <f t="shared" ref="M90:M104" si="15">BI63/($BH$80*$BH$80)</f>
        <v>#N/A</v>
      </c>
      <c r="N90" s="38" t="e">
        <f t="shared" ref="N90:N104" si="16">BQ63/($BP$80*$BP$80)</f>
        <v>#N/A</v>
      </c>
      <c r="O90" s="38" t="e">
        <f t="shared" ref="O90:O104" si="17">BY63/($BX$80*$BX$80)</f>
        <v>#N/A</v>
      </c>
      <c r="P90" s="38" t="e">
        <f t="shared" ref="P90:P104" si="18">CG63/($CF$80*$CF$80)</f>
        <v>#N/A</v>
      </c>
      <c r="Q90" s="38" t="e">
        <f t="shared" ref="Q90:Q104" si="19">CO63/($CN$80*$CN$80)</f>
        <v>#N/A</v>
      </c>
    </row>
    <row r="91" spans="1:94" ht="15.95" customHeight="1" x14ac:dyDescent="0.25">
      <c r="B91" s="620" t="s">
        <v>450</v>
      </c>
      <c r="C91" s="621"/>
      <c r="D91" s="621"/>
      <c r="E91" s="621"/>
      <c r="F91" s="621"/>
      <c r="G91" s="621"/>
      <c r="H91" s="38" t="e">
        <f t="shared" ref="H91:H104" si="20">U64/($T$80*$T$80)</f>
        <v>#N/A</v>
      </c>
      <c r="I91" s="38" t="e">
        <f t="shared" si="11"/>
        <v>#N/A</v>
      </c>
      <c r="J91" s="38" t="e">
        <f t="shared" si="12"/>
        <v>#N/A</v>
      </c>
      <c r="K91" s="38" t="e">
        <f t="shared" si="13"/>
        <v>#N/A</v>
      </c>
      <c r="L91" s="38" t="e">
        <f t="shared" si="14"/>
        <v>#N/A</v>
      </c>
      <c r="M91" s="38" t="e">
        <f t="shared" si="15"/>
        <v>#N/A</v>
      </c>
      <c r="N91" s="38" t="e">
        <f t="shared" si="16"/>
        <v>#N/A</v>
      </c>
      <c r="O91" s="38" t="e">
        <f t="shared" si="17"/>
        <v>#N/A</v>
      </c>
      <c r="P91" s="38" t="e">
        <f t="shared" si="18"/>
        <v>#N/A</v>
      </c>
      <c r="Q91" s="38" t="e">
        <f t="shared" si="19"/>
        <v>#N/A</v>
      </c>
    </row>
    <row r="92" spans="1:94" ht="15.95" customHeight="1" x14ac:dyDescent="0.25">
      <c r="B92" s="620" t="s">
        <v>451</v>
      </c>
      <c r="C92" s="621"/>
      <c r="D92" s="621"/>
      <c r="E92" s="621"/>
      <c r="F92" s="621"/>
      <c r="G92" s="621"/>
      <c r="H92" s="38" t="e">
        <f t="shared" si="20"/>
        <v>#N/A</v>
      </c>
      <c r="I92" s="38" t="e">
        <f t="shared" si="11"/>
        <v>#N/A</v>
      </c>
      <c r="J92" s="38" t="e">
        <f t="shared" si="12"/>
        <v>#N/A</v>
      </c>
      <c r="K92" s="38" t="e">
        <f t="shared" si="13"/>
        <v>#N/A</v>
      </c>
      <c r="L92" s="38" t="e">
        <f t="shared" si="14"/>
        <v>#N/A</v>
      </c>
      <c r="M92" s="38" t="e">
        <f t="shared" si="15"/>
        <v>#N/A</v>
      </c>
      <c r="N92" s="38" t="e">
        <f t="shared" si="16"/>
        <v>#N/A</v>
      </c>
      <c r="O92" s="38" t="e">
        <f t="shared" si="17"/>
        <v>#N/A</v>
      </c>
      <c r="P92" s="38" t="e">
        <f t="shared" si="18"/>
        <v>#N/A</v>
      </c>
      <c r="Q92" s="38" t="e">
        <f t="shared" si="19"/>
        <v>#N/A</v>
      </c>
    </row>
    <row r="93" spans="1:94" ht="15.95" customHeight="1" x14ac:dyDescent="0.25">
      <c r="B93" s="620" t="s">
        <v>452</v>
      </c>
      <c r="C93" s="621"/>
      <c r="D93" s="621"/>
      <c r="E93" s="621"/>
      <c r="F93" s="621"/>
      <c r="G93" s="621"/>
      <c r="H93" s="38" t="e">
        <f t="shared" si="20"/>
        <v>#N/A</v>
      </c>
      <c r="I93" s="38" t="e">
        <f t="shared" si="11"/>
        <v>#N/A</v>
      </c>
      <c r="J93" s="38" t="e">
        <f t="shared" si="12"/>
        <v>#N/A</v>
      </c>
      <c r="K93" s="38" t="e">
        <f t="shared" si="13"/>
        <v>#N/A</v>
      </c>
      <c r="L93" s="38" t="e">
        <f t="shared" si="14"/>
        <v>#N/A</v>
      </c>
      <c r="M93" s="38" t="e">
        <f t="shared" si="15"/>
        <v>#N/A</v>
      </c>
      <c r="N93" s="38" t="e">
        <f t="shared" si="16"/>
        <v>#N/A</v>
      </c>
      <c r="O93" s="38" t="e">
        <f t="shared" si="17"/>
        <v>#N/A</v>
      </c>
      <c r="P93" s="38" t="e">
        <f t="shared" si="18"/>
        <v>#N/A</v>
      </c>
      <c r="Q93" s="38" t="e">
        <f t="shared" si="19"/>
        <v>#N/A</v>
      </c>
    </row>
    <row r="94" spans="1:94" ht="15.95" customHeight="1" x14ac:dyDescent="0.25">
      <c r="B94" s="620" t="s">
        <v>453</v>
      </c>
      <c r="C94" s="621"/>
      <c r="D94" s="621"/>
      <c r="E94" s="621"/>
      <c r="F94" s="621"/>
      <c r="G94" s="621"/>
      <c r="H94" s="38" t="e">
        <f t="shared" si="20"/>
        <v>#N/A</v>
      </c>
      <c r="I94" s="38" t="e">
        <f t="shared" si="11"/>
        <v>#N/A</v>
      </c>
      <c r="J94" s="38" t="e">
        <f t="shared" si="12"/>
        <v>#N/A</v>
      </c>
      <c r="K94" s="38" t="e">
        <f t="shared" si="13"/>
        <v>#N/A</v>
      </c>
      <c r="L94" s="38" t="e">
        <f t="shared" si="14"/>
        <v>#N/A</v>
      </c>
      <c r="M94" s="38" t="e">
        <f t="shared" si="15"/>
        <v>#N/A</v>
      </c>
      <c r="N94" s="38" t="e">
        <f t="shared" si="16"/>
        <v>#N/A</v>
      </c>
      <c r="O94" s="38" t="e">
        <f t="shared" si="17"/>
        <v>#N/A</v>
      </c>
      <c r="P94" s="38" t="e">
        <f t="shared" si="18"/>
        <v>#N/A</v>
      </c>
      <c r="Q94" s="38" t="e">
        <f t="shared" si="19"/>
        <v>#N/A</v>
      </c>
    </row>
    <row r="95" spans="1:94" ht="15.95" customHeight="1" x14ac:dyDescent="0.25">
      <c r="B95" s="620" t="s">
        <v>454</v>
      </c>
      <c r="C95" s="621"/>
      <c r="D95" s="621"/>
      <c r="E95" s="621"/>
      <c r="F95" s="621"/>
      <c r="G95" s="621"/>
      <c r="H95" s="38" t="e">
        <f t="shared" si="20"/>
        <v>#N/A</v>
      </c>
      <c r="I95" s="38" t="e">
        <f t="shared" si="11"/>
        <v>#N/A</v>
      </c>
      <c r="J95" s="38" t="e">
        <f t="shared" si="12"/>
        <v>#N/A</v>
      </c>
      <c r="K95" s="38" t="e">
        <f t="shared" si="13"/>
        <v>#N/A</v>
      </c>
      <c r="L95" s="38" t="e">
        <f t="shared" si="14"/>
        <v>#N/A</v>
      </c>
      <c r="M95" s="38" t="e">
        <f t="shared" si="15"/>
        <v>#N/A</v>
      </c>
      <c r="N95" s="38" t="e">
        <f t="shared" si="16"/>
        <v>#N/A</v>
      </c>
      <c r="O95" s="38" t="e">
        <f t="shared" si="17"/>
        <v>#N/A</v>
      </c>
      <c r="P95" s="38" t="e">
        <f t="shared" si="18"/>
        <v>#N/A</v>
      </c>
      <c r="Q95" s="38" t="e">
        <f t="shared" si="19"/>
        <v>#N/A</v>
      </c>
    </row>
    <row r="96" spans="1:94" ht="15.95" customHeight="1" x14ac:dyDescent="0.25">
      <c r="B96" s="620" t="s">
        <v>455</v>
      </c>
      <c r="C96" s="621"/>
      <c r="D96" s="621"/>
      <c r="E96" s="621"/>
      <c r="F96" s="621"/>
      <c r="G96" s="621"/>
      <c r="H96" s="38" t="e">
        <f t="shared" si="20"/>
        <v>#N/A</v>
      </c>
      <c r="I96" s="38" t="e">
        <f t="shared" si="11"/>
        <v>#N/A</v>
      </c>
      <c r="J96" s="38" t="e">
        <f t="shared" si="12"/>
        <v>#N/A</v>
      </c>
      <c r="K96" s="38" t="e">
        <f t="shared" si="13"/>
        <v>#N/A</v>
      </c>
      <c r="L96" s="38" t="e">
        <f t="shared" si="14"/>
        <v>#N/A</v>
      </c>
      <c r="M96" s="38" t="e">
        <f t="shared" si="15"/>
        <v>#N/A</v>
      </c>
      <c r="N96" s="38" t="e">
        <f t="shared" si="16"/>
        <v>#N/A</v>
      </c>
      <c r="O96" s="38" t="e">
        <f t="shared" si="17"/>
        <v>#N/A</v>
      </c>
      <c r="P96" s="38" t="e">
        <f t="shared" si="18"/>
        <v>#N/A</v>
      </c>
      <c r="Q96" s="38" t="e">
        <f t="shared" si="19"/>
        <v>#N/A</v>
      </c>
    </row>
    <row r="97" spans="1:17" ht="15.95" customHeight="1" x14ac:dyDescent="0.25">
      <c r="B97" s="620" t="s">
        <v>456</v>
      </c>
      <c r="C97" s="621"/>
      <c r="D97" s="621"/>
      <c r="E97" s="621"/>
      <c r="F97" s="621"/>
      <c r="G97" s="621"/>
      <c r="H97" s="38" t="e">
        <f t="shared" si="20"/>
        <v>#N/A</v>
      </c>
      <c r="I97" s="38" t="e">
        <f t="shared" si="11"/>
        <v>#N/A</v>
      </c>
      <c r="J97" s="38" t="e">
        <f t="shared" si="12"/>
        <v>#N/A</v>
      </c>
      <c r="K97" s="38" t="e">
        <f t="shared" si="13"/>
        <v>#N/A</v>
      </c>
      <c r="L97" s="38" t="e">
        <f t="shared" si="14"/>
        <v>#N/A</v>
      </c>
      <c r="M97" s="38" t="e">
        <f t="shared" si="15"/>
        <v>#N/A</v>
      </c>
      <c r="N97" s="38" t="e">
        <f t="shared" si="16"/>
        <v>#N/A</v>
      </c>
      <c r="O97" s="38" t="e">
        <f t="shared" si="17"/>
        <v>#N/A</v>
      </c>
      <c r="P97" s="38" t="e">
        <f t="shared" si="18"/>
        <v>#N/A</v>
      </c>
      <c r="Q97" s="38" t="e">
        <f t="shared" si="19"/>
        <v>#N/A</v>
      </c>
    </row>
    <row r="98" spans="1:17" ht="15.95" customHeight="1" x14ac:dyDescent="0.25">
      <c r="B98" s="620" t="s">
        <v>457</v>
      </c>
      <c r="C98" s="621"/>
      <c r="D98" s="621"/>
      <c r="E98" s="621"/>
      <c r="F98" s="621"/>
      <c r="G98" s="621"/>
      <c r="H98" s="38" t="e">
        <f t="shared" si="20"/>
        <v>#DIV/0!</v>
      </c>
      <c r="I98" s="38" t="e">
        <f t="shared" si="11"/>
        <v>#DIV/0!</v>
      </c>
      <c r="J98" s="38" t="e">
        <f t="shared" si="12"/>
        <v>#DIV/0!</v>
      </c>
      <c r="K98" s="38" t="e">
        <f t="shared" si="13"/>
        <v>#DIV/0!</v>
      </c>
      <c r="L98" s="38" t="e">
        <f t="shared" si="14"/>
        <v>#DIV/0!</v>
      </c>
      <c r="M98" s="38" t="e">
        <f t="shared" si="15"/>
        <v>#DIV/0!</v>
      </c>
      <c r="N98" s="38" t="e">
        <f t="shared" si="16"/>
        <v>#DIV/0!</v>
      </c>
      <c r="O98" s="38" t="e">
        <f t="shared" si="17"/>
        <v>#DIV/0!</v>
      </c>
      <c r="P98" s="38" t="e">
        <f t="shared" si="18"/>
        <v>#DIV/0!</v>
      </c>
      <c r="Q98" s="38" t="e">
        <f t="shared" si="19"/>
        <v>#DIV/0!</v>
      </c>
    </row>
    <row r="99" spans="1:17" ht="15.95" customHeight="1" x14ac:dyDescent="0.25">
      <c r="B99" s="620" t="s">
        <v>458</v>
      </c>
      <c r="C99" s="621"/>
      <c r="D99" s="621"/>
      <c r="E99" s="621"/>
      <c r="F99" s="621"/>
      <c r="G99" s="621"/>
      <c r="H99" s="38" t="e">
        <f t="shared" si="20"/>
        <v>#VALUE!</v>
      </c>
      <c r="I99" s="38" t="e">
        <f t="shared" si="11"/>
        <v>#VALUE!</v>
      </c>
      <c r="J99" s="38" t="e">
        <f t="shared" si="12"/>
        <v>#VALUE!</v>
      </c>
      <c r="K99" s="38" t="e">
        <f t="shared" si="13"/>
        <v>#VALUE!</v>
      </c>
      <c r="L99" s="38" t="e">
        <f t="shared" si="14"/>
        <v>#VALUE!</v>
      </c>
      <c r="M99" s="38" t="e">
        <f t="shared" si="15"/>
        <v>#VALUE!</v>
      </c>
      <c r="N99" s="38" t="e">
        <f t="shared" si="16"/>
        <v>#VALUE!</v>
      </c>
      <c r="O99" s="38" t="e">
        <f t="shared" si="17"/>
        <v>#VALUE!</v>
      </c>
      <c r="P99" s="38" t="e">
        <f t="shared" si="18"/>
        <v>#VALUE!</v>
      </c>
      <c r="Q99" s="38" t="e">
        <f t="shared" si="19"/>
        <v>#VALUE!</v>
      </c>
    </row>
    <row r="100" spans="1:17" ht="15.95" customHeight="1" x14ac:dyDescent="0.25">
      <c r="B100" s="620" t="s">
        <v>459</v>
      </c>
      <c r="C100" s="621"/>
      <c r="D100" s="621"/>
      <c r="E100" s="621"/>
      <c r="F100" s="621"/>
      <c r="G100" s="621"/>
      <c r="H100" s="38" t="e">
        <f t="shared" si="20"/>
        <v>#VALUE!</v>
      </c>
      <c r="I100" s="38" t="e">
        <f t="shared" si="11"/>
        <v>#VALUE!</v>
      </c>
      <c r="J100" s="38" t="e">
        <f t="shared" si="12"/>
        <v>#VALUE!</v>
      </c>
      <c r="K100" s="38" t="e">
        <f t="shared" si="13"/>
        <v>#VALUE!</v>
      </c>
      <c r="L100" s="38" t="e">
        <f t="shared" si="14"/>
        <v>#VALUE!</v>
      </c>
      <c r="M100" s="38" t="e">
        <f t="shared" si="15"/>
        <v>#VALUE!</v>
      </c>
      <c r="N100" s="38" t="e">
        <f t="shared" si="16"/>
        <v>#VALUE!</v>
      </c>
      <c r="O100" s="38" t="e">
        <f t="shared" si="17"/>
        <v>#VALUE!</v>
      </c>
      <c r="P100" s="38" t="e">
        <f t="shared" si="18"/>
        <v>#VALUE!</v>
      </c>
      <c r="Q100" s="38" t="e">
        <f t="shared" si="19"/>
        <v>#VALUE!</v>
      </c>
    </row>
    <row r="101" spans="1:17" ht="15.95" customHeight="1" x14ac:dyDescent="0.25">
      <c r="B101" s="620" t="s">
        <v>460</v>
      </c>
      <c r="C101" s="621"/>
      <c r="D101" s="621"/>
      <c r="E101" s="621"/>
      <c r="F101" s="621"/>
      <c r="G101" s="621"/>
      <c r="H101" s="38" t="e">
        <f t="shared" si="20"/>
        <v>#VALUE!</v>
      </c>
      <c r="I101" s="38" t="e">
        <f t="shared" si="11"/>
        <v>#VALUE!</v>
      </c>
      <c r="J101" s="38" t="e">
        <f t="shared" si="12"/>
        <v>#VALUE!</v>
      </c>
      <c r="K101" s="38" t="e">
        <f t="shared" si="13"/>
        <v>#VALUE!</v>
      </c>
      <c r="L101" s="38" t="e">
        <f t="shared" si="14"/>
        <v>#VALUE!</v>
      </c>
      <c r="M101" s="38" t="e">
        <f t="shared" si="15"/>
        <v>#VALUE!</v>
      </c>
      <c r="N101" s="38" t="e">
        <f t="shared" si="16"/>
        <v>#VALUE!</v>
      </c>
      <c r="O101" s="38" t="e">
        <f t="shared" si="17"/>
        <v>#VALUE!</v>
      </c>
      <c r="P101" s="38" t="e">
        <f t="shared" si="18"/>
        <v>#VALUE!</v>
      </c>
      <c r="Q101" s="38" t="e">
        <f t="shared" si="19"/>
        <v>#VALUE!</v>
      </c>
    </row>
    <row r="102" spans="1:17" ht="15.95" customHeight="1" x14ac:dyDescent="0.25">
      <c r="B102" s="620" t="s">
        <v>461</v>
      </c>
      <c r="C102" s="621"/>
      <c r="D102" s="621"/>
      <c r="E102" s="621"/>
      <c r="F102" s="621"/>
      <c r="G102" s="621"/>
      <c r="H102" s="38" t="e">
        <f t="shared" si="20"/>
        <v>#VALUE!</v>
      </c>
      <c r="I102" s="38" t="e">
        <f t="shared" si="11"/>
        <v>#VALUE!</v>
      </c>
      <c r="J102" s="38" t="e">
        <f t="shared" si="12"/>
        <v>#VALUE!</v>
      </c>
      <c r="K102" s="38" t="e">
        <f t="shared" si="13"/>
        <v>#VALUE!</v>
      </c>
      <c r="L102" s="38" t="e">
        <f t="shared" si="14"/>
        <v>#VALUE!</v>
      </c>
      <c r="M102" s="38" t="e">
        <f t="shared" si="15"/>
        <v>#VALUE!</v>
      </c>
      <c r="N102" s="38" t="e">
        <f t="shared" si="16"/>
        <v>#VALUE!</v>
      </c>
      <c r="O102" s="38" t="e">
        <f t="shared" si="17"/>
        <v>#VALUE!</v>
      </c>
      <c r="P102" s="38" t="e">
        <f t="shared" si="18"/>
        <v>#VALUE!</v>
      </c>
      <c r="Q102" s="38" t="e">
        <f t="shared" si="19"/>
        <v>#VALUE!</v>
      </c>
    </row>
    <row r="103" spans="1:17" ht="15.95" customHeight="1" x14ac:dyDescent="0.25">
      <c r="B103" s="620" t="s">
        <v>462</v>
      </c>
      <c r="C103" s="621"/>
      <c r="D103" s="621"/>
      <c r="E103" s="621"/>
      <c r="F103" s="621"/>
      <c r="G103" s="621"/>
      <c r="H103" s="38" t="e">
        <f t="shared" si="20"/>
        <v>#VALUE!</v>
      </c>
      <c r="I103" s="38" t="e">
        <f t="shared" si="11"/>
        <v>#VALUE!</v>
      </c>
      <c r="J103" s="38" t="e">
        <f t="shared" si="12"/>
        <v>#VALUE!</v>
      </c>
      <c r="K103" s="38" t="e">
        <f t="shared" si="13"/>
        <v>#VALUE!</v>
      </c>
      <c r="L103" s="38" t="e">
        <f t="shared" si="14"/>
        <v>#VALUE!</v>
      </c>
      <c r="M103" s="38" t="e">
        <f t="shared" si="15"/>
        <v>#VALUE!</v>
      </c>
      <c r="N103" s="38" t="e">
        <f t="shared" si="16"/>
        <v>#VALUE!</v>
      </c>
      <c r="O103" s="38" t="e">
        <f t="shared" si="17"/>
        <v>#VALUE!</v>
      </c>
      <c r="P103" s="38" t="e">
        <f t="shared" si="18"/>
        <v>#VALUE!</v>
      </c>
      <c r="Q103" s="38" t="e">
        <f t="shared" si="19"/>
        <v>#VALUE!</v>
      </c>
    </row>
    <row r="104" spans="1:17" ht="15.95" customHeight="1" x14ac:dyDescent="0.25">
      <c r="B104" s="622" t="s">
        <v>324</v>
      </c>
      <c r="C104" s="623"/>
      <c r="D104" s="623"/>
      <c r="E104" s="623"/>
      <c r="F104" s="623"/>
      <c r="G104" s="623"/>
      <c r="H104" s="38" t="e">
        <f t="shared" si="20"/>
        <v>#N/A</v>
      </c>
      <c r="I104" s="38" t="e">
        <f t="shared" si="11"/>
        <v>#N/A</v>
      </c>
      <c r="J104" s="38" t="e">
        <f t="shared" si="12"/>
        <v>#N/A</v>
      </c>
      <c r="K104" s="38" t="e">
        <f t="shared" si="13"/>
        <v>#N/A</v>
      </c>
      <c r="L104" s="38" t="e">
        <f t="shared" si="14"/>
        <v>#N/A</v>
      </c>
      <c r="M104" s="38" t="e">
        <f t="shared" si="15"/>
        <v>#N/A</v>
      </c>
      <c r="N104" s="38" t="e">
        <f t="shared" si="16"/>
        <v>#N/A</v>
      </c>
      <c r="O104" s="38" t="e">
        <f t="shared" si="17"/>
        <v>#N/A</v>
      </c>
      <c r="P104" s="38" t="e">
        <f t="shared" si="18"/>
        <v>#N/A</v>
      </c>
      <c r="Q104" s="38" t="e">
        <f t="shared" si="19"/>
        <v>#N/A</v>
      </c>
    </row>
    <row r="106" spans="1:17" ht="24.95" customHeight="1" x14ac:dyDescent="0.25">
      <c r="A106" s="612" t="s">
        <v>183</v>
      </c>
      <c r="B106" s="613"/>
      <c r="C106" s="613"/>
      <c r="D106" s="613"/>
      <c r="E106" s="613"/>
      <c r="F106" s="613"/>
      <c r="G106" s="613"/>
      <c r="H106" s="613"/>
      <c r="I106" s="613"/>
      <c r="J106" s="613"/>
      <c r="K106" s="613"/>
      <c r="L106" s="613"/>
      <c r="M106" s="613"/>
      <c r="N106" s="613"/>
      <c r="O106" s="613"/>
      <c r="P106" s="613"/>
      <c r="Q106" s="614"/>
    </row>
    <row r="108" spans="1:17" x14ac:dyDescent="0.25">
      <c r="B108" s="616" t="s">
        <v>184</v>
      </c>
      <c r="C108" s="616"/>
      <c r="D108" s="617"/>
      <c r="E108" s="615"/>
    </row>
    <row r="109" spans="1:17" x14ac:dyDescent="0.25">
      <c r="B109" s="616"/>
      <c r="C109" s="616"/>
      <c r="D109" s="617"/>
      <c r="E109" s="615"/>
    </row>
    <row r="114" spans="3:4" x14ac:dyDescent="0.25">
      <c r="C114">
        <v>1</v>
      </c>
      <c r="D114" s="36" t="b">
        <f t="array" ref="D114:D128">IF(E108=1,H90:H104,IF(E108=2,I90:I104,IF(E108=3,J90:J104,IF(E108=4,K90:K104,IF(E108=5,L90:L104,IF(E108=6,M90:M104,IF(E108=7,N90:N104,IF(E108=8,O90:O104,IF(E108=9,P90:P104,IF(E108=10,Q90:Q104))))))))))</f>
        <v>0</v>
      </c>
    </row>
    <row r="115" spans="3:4" x14ac:dyDescent="0.25">
      <c r="C115">
        <v>2</v>
      </c>
      <c r="D115" s="36" t="b">
        <v>0</v>
      </c>
    </row>
    <row r="116" spans="3:4" x14ac:dyDescent="0.25">
      <c r="C116">
        <v>3</v>
      </c>
      <c r="D116" s="36" t="b">
        <v>0</v>
      </c>
    </row>
    <row r="117" spans="3:4" x14ac:dyDescent="0.25">
      <c r="C117">
        <v>4</v>
      </c>
      <c r="D117" s="36" t="b">
        <v>0</v>
      </c>
    </row>
    <row r="118" spans="3:4" x14ac:dyDescent="0.25">
      <c r="C118">
        <v>5</v>
      </c>
      <c r="D118" s="36" t="b">
        <v>0</v>
      </c>
    </row>
    <row r="119" spans="3:4" x14ac:dyDescent="0.25">
      <c r="C119">
        <v>6</v>
      </c>
      <c r="D119" s="36" t="b">
        <v>0</v>
      </c>
    </row>
    <row r="120" spans="3:4" x14ac:dyDescent="0.25">
      <c r="C120">
        <v>7</v>
      </c>
      <c r="D120" s="36" t="b">
        <v>0</v>
      </c>
    </row>
    <row r="121" spans="3:4" x14ac:dyDescent="0.25">
      <c r="C121">
        <v>8</v>
      </c>
      <c r="D121" s="36" t="b">
        <v>0</v>
      </c>
    </row>
    <row r="122" spans="3:4" x14ac:dyDescent="0.25">
      <c r="C122">
        <v>9</v>
      </c>
      <c r="D122" s="36" t="b">
        <v>0</v>
      </c>
    </row>
    <row r="123" spans="3:4" x14ac:dyDescent="0.25">
      <c r="C123">
        <v>10</v>
      </c>
      <c r="D123" s="36" t="b">
        <v>0</v>
      </c>
    </row>
    <row r="124" spans="3:4" x14ac:dyDescent="0.25">
      <c r="C124">
        <v>11</v>
      </c>
      <c r="D124" s="36" t="b">
        <v>0</v>
      </c>
    </row>
    <row r="125" spans="3:4" x14ac:dyDescent="0.25">
      <c r="C125">
        <v>12</v>
      </c>
      <c r="D125" s="36" t="b">
        <v>0</v>
      </c>
    </row>
    <row r="126" spans="3:4" x14ac:dyDescent="0.25">
      <c r="C126">
        <v>13</v>
      </c>
      <c r="D126" s="36" t="b">
        <v>0</v>
      </c>
    </row>
    <row r="127" spans="3:4" x14ac:dyDescent="0.25">
      <c r="C127">
        <v>14</v>
      </c>
      <c r="D127" s="36" t="b">
        <v>0</v>
      </c>
    </row>
    <row r="128" spans="3:4" x14ac:dyDescent="0.25">
      <c r="C128">
        <v>15</v>
      </c>
      <c r="D128" s="36" t="b">
        <v>0</v>
      </c>
    </row>
  </sheetData>
  <sheetProtection algorithmName="SHA-512" hashValue="QMUpzvEgvYfeuhyOUdTG+B7uZxfNNtx+kp/u9A5APe5K9i/VZfvvgA593CCstsTRXODZi7wv9xsAEn24MLmlPQ==" saltValue="nGOTcuN70wTaYyl6EeqsjQ==" spinCount="100000" sheet="1" objects="1" scenarios="1"/>
  <mergeCells count="597">
    <mergeCell ref="AE84:AI84"/>
    <mergeCell ref="AM84:AQ84"/>
    <mergeCell ref="AU84:AY84"/>
    <mergeCell ref="BC84:BG84"/>
    <mergeCell ref="BK84:BO84"/>
    <mergeCell ref="BS84:BW84"/>
    <mergeCell ref="CA84:CE84"/>
    <mergeCell ref="CI84:CM84"/>
    <mergeCell ref="O78:V79"/>
    <mergeCell ref="O80:S80"/>
    <mergeCell ref="O81:S81"/>
    <mergeCell ref="O82:S82"/>
    <mergeCell ref="O83:S83"/>
    <mergeCell ref="O84:S84"/>
    <mergeCell ref="W78:AD79"/>
    <mergeCell ref="W80:AA80"/>
    <mergeCell ref="W81:AA81"/>
    <mergeCell ref="W82:AA82"/>
    <mergeCell ref="W83:AA83"/>
    <mergeCell ref="W84:AA84"/>
    <mergeCell ref="AE78:AL79"/>
    <mergeCell ref="AM78:AT79"/>
    <mergeCell ref="AU78:BB79"/>
    <mergeCell ref="BC78:BJ79"/>
    <mergeCell ref="AE80:AI80"/>
    <mergeCell ref="AM80:AQ80"/>
    <mergeCell ref="AU80:AY80"/>
    <mergeCell ref="CA61:CB61"/>
    <mergeCell ref="CA63:CA67"/>
    <mergeCell ref="CB63:CB67"/>
    <mergeCell ref="CA68:CA70"/>
    <mergeCell ref="CB68:CB70"/>
    <mergeCell ref="CA74:CA76"/>
    <mergeCell ref="CB74:CB76"/>
    <mergeCell ref="BK61:BL61"/>
    <mergeCell ref="BK63:BK67"/>
    <mergeCell ref="BL63:BL67"/>
    <mergeCell ref="AG61:AH61"/>
    <mergeCell ref="AI61:AJ61"/>
    <mergeCell ref="AK61:AL61"/>
    <mergeCell ref="AU61:AV61"/>
    <mergeCell ref="AU63:AU67"/>
    <mergeCell ref="AV63:AV67"/>
    <mergeCell ref="AU68:AU70"/>
    <mergeCell ref="AV68:AV70"/>
    <mergeCell ref="AU74:AU76"/>
    <mergeCell ref="AV74:AV76"/>
    <mergeCell ref="AE74:AE76"/>
    <mergeCell ref="B59:N60"/>
    <mergeCell ref="O59:V60"/>
    <mergeCell ref="W61:X61"/>
    <mergeCell ref="W63:W67"/>
    <mergeCell ref="X63:X67"/>
    <mergeCell ref="W68:W70"/>
    <mergeCell ref="X68:X70"/>
    <mergeCell ref="W74:W76"/>
    <mergeCell ref="X74:X76"/>
    <mergeCell ref="W59:AD60"/>
    <mergeCell ref="O63:O67"/>
    <mergeCell ref="P63:P67"/>
    <mergeCell ref="O61:P61"/>
    <mergeCell ref="Y61:Z61"/>
    <mergeCell ref="AA61:AB61"/>
    <mergeCell ref="AC61:AD61"/>
    <mergeCell ref="E64:G64"/>
    <mergeCell ref="E65:G65"/>
    <mergeCell ref="E66:G66"/>
    <mergeCell ref="D64:D66"/>
    <mergeCell ref="D67:G67"/>
    <mergeCell ref="K67:N67"/>
    <mergeCell ref="K70:N70"/>
    <mergeCell ref="K64:N64"/>
    <mergeCell ref="T53:U53"/>
    <mergeCell ref="T54:U54"/>
    <mergeCell ref="U47:V47"/>
    <mergeCell ref="E49:G49"/>
    <mergeCell ref="K49:N49"/>
    <mergeCell ref="E50:G50"/>
    <mergeCell ref="K50:N50"/>
    <mergeCell ref="B47:D48"/>
    <mergeCell ref="E47:G48"/>
    <mergeCell ref="H47:H48"/>
    <mergeCell ref="I47:I48"/>
    <mergeCell ref="Q47:R47"/>
    <mergeCell ref="S47:T47"/>
    <mergeCell ref="E51:G51"/>
    <mergeCell ref="K47:N48"/>
    <mergeCell ref="O53:S53"/>
    <mergeCell ref="O54:S54"/>
    <mergeCell ref="B20:D22"/>
    <mergeCell ref="E20:G20"/>
    <mergeCell ref="K20:N20"/>
    <mergeCell ref="K51:N51"/>
    <mergeCell ref="Q25:S25"/>
    <mergeCell ref="T25:U25"/>
    <mergeCell ref="Q26:S26"/>
    <mergeCell ref="O20:O22"/>
    <mergeCell ref="P20:P22"/>
    <mergeCell ref="E22:G22"/>
    <mergeCell ref="K22:N22"/>
    <mergeCell ref="J47:J48"/>
    <mergeCell ref="B49:D51"/>
    <mergeCell ref="O49:O51"/>
    <mergeCell ref="P49:P51"/>
    <mergeCell ref="B23:D23"/>
    <mergeCell ref="E23:G23"/>
    <mergeCell ref="K23:N23"/>
    <mergeCell ref="B24:D24"/>
    <mergeCell ref="E24:G24"/>
    <mergeCell ref="K24:N24"/>
    <mergeCell ref="T26:U26"/>
    <mergeCell ref="B42:G43"/>
    <mergeCell ref="B38:D38"/>
    <mergeCell ref="B17:D19"/>
    <mergeCell ref="E17:G17"/>
    <mergeCell ref="K17:N17"/>
    <mergeCell ref="O17:O19"/>
    <mergeCell ref="P17:P19"/>
    <mergeCell ref="E19:G19"/>
    <mergeCell ref="K19:N19"/>
    <mergeCell ref="B61:D62"/>
    <mergeCell ref="E18:G18"/>
    <mergeCell ref="K18:N18"/>
    <mergeCell ref="O47:P47"/>
    <mergeCell ref="E21:G21"/>
    <mergeCell ref="K21:N21"/>
    <mergeCell ref="H33:H34"/>
    <mergeCell ref="I33:I34"/>
    <mergeCell ref="J33:J34"/>
    <mergeCell ref="K33:N34"/>
    <mergeCell ref="O33:P33"/>
    <mergeCell ref="E38:G38"/>
    <mergeCell ref="K38:N38"/>
    <mergeCell ref="B45:N46"/>
    <mergeCell ref="O45:V46"/>
    <mergeCell ref="B31:N32"/>
    <mergeCell ref="O31:V32"/>
    <mergeCell ref="M1:O2"/>
    <mergeCell ref="M3:O4"/>
    <mergeCell ref="M5:O6"/>
    <mergeCell ref="A1:C6"/>
    <mergeCell ref="D1:L6"/>
    <mergeCell ref="A8:O8"/>
    <mergeCell ref="B10:G11"/>
    <mergeCell ref="B13:V14"/>
    <mergeCell ref="B15:D16"/>
    <mergeCell ref="E15:G16"/>
    <mergeCell ref="H15:H16"/>
    <mergeCell ref="I15:I16"/>
    <mergeCell ref="J15:J16"/>
    <mergeCell ref="U15:V15"/>
    <mergeCell ref="K15:N16"/>
    <mergeCell ref="O15:P15"/>
    <mergeCell ref="Q15:R15"/>
    <mergeCell ref="S15:T15"/>
    <mergeCell ref="T83:U83"/>
    <mergeCell ref="T84:U84"/>
    <mergeCell ref="T82:U82"/>
    <mergeCell ref="S33:T33"/>
    <mergeCell ref="U33:V33"/>
    <mergeCell ref="Q61:R61"/>
    <mergeCell ref="U61:V61"/>
    <mergeCell ref="E61:G62"/>
    <mergeCell ref="H61:H62"/>
    <mergeCell ref="I61:I62"/>
    <mergeCell ref="J61:J62"/>
    <mergeCell ref="K61:N62"/>
    <mergeCell ref="S61:T61"/>
    <mergeCell ref="O40:S40"/>
    <mergeCell ref="K65:N65"/>
    <mergeCell ref="K66:N66"/>
    <mergeCell ref="Q33:R33"/>
    <mergeCell ref="T39:U39"/>
    <mergeCell ref="T40:U40"/>
    <mergeCell ref="O39:S39"/>
    <mergeCell ref="B56:G57"/>
    <mergeCell ref="B52:D52"/>
    <mergeCell ref="E52:G52"/>
    <mergeCell ref="K52:N52"/>
    <mergeCell ref="B28:G29"/>
    <mergeCell ref="B33:D34"/>
    <mergeCell ref="E33:G34"/>
    <mergeCell ref="AE59:AL60"/>
    <mergeCell ref="AE81:AI81"/>
    <mergeCell ref="AE82:AI82"/>
    <mergeCell ref="AE83:AI83"/>
    <mergeCell ref="AB84:AC84"/>
    <mergeCell ref="B68:C70"/>
    <mergeCell ref="B63:C67"/>
    <mergeCell ref="K68:N68"/>
    <mergeCell ref="D70:G70"/>
    <mergeCell ref="K76:N76"/>
    <mergeCell ref="D71:G71"/>
    <mergeCell ref="K71:N71"/>
    <mergeCell ref="T80:U80"/>
    <mergeCell ref="O68:O70"/>
    <mergeCell ref="P68:P70"/>
    <mergeCell ref="O74:O76"/>
    <mergeCell ref="P74:P76"/>
    <mergeCell ref="B71:C76"/>
    <mergeCell ref="B77:G77"/>
    <mergeCell ref="D63:G63"/>
    <mergeCell ref="AB80:AC80"/>
    <mergeCell ref="AB81:AC81"/>
    <mergeCell ref="K63:N63"/>
    <mergeCell ref="K77:N77"/>
    <mergeCell ref="AD81:AD83"/>
    <mergeCell ref="AB82:AC82"/>
    <mergeCell ref="AB83:AC83"/>
    <mergeCell ref="AO61:AP61"/>
    <mergeCell ref="AQ61:AR61"/>
    <mergeCell ref="AS61:AT61"/>
    <mergeCell ref="AR80:AS80"/>
    <mergeCell ref="AR81:AS81"/>
    <mergeCell ref="AT81:AT83"/>
    <mergeCell ref="AR82:AS82"/>
    <mergeCell ref="AR83:AS83"/>
    <mergeCell ref="AJ80:AK80"/>
    <mergeCell ref="AJ81:AK81"/>
    <mergeCell ref="AL81:AL83"/>
    <mergeCell ref="AJ82:AK82"/>
    <mergeCell ref="AJ83:AK83"/>
    <mergeCell ref="AE61:AF61"/>
    <mergeCell ref="AE63:AE67"/>
    <mergeCell ref="AF63:AF67"/>
    <mergeCell ref="AE68:AE70"/>
    <mergeCell ref="AF68:AF70"/>
    <mergeCell ref="AF74:AF76"/>
    <mergeCell ref="AM61:AN61"/>
    <mergeCell ref="AM59:AT60"/>
    <mergeCell ref="AM81:AQ81"/>
    <mergeCell ref="AM82:AQ82"/>
    <mergeCell ref="AM83:AQ83"/>
    <mergeCell ref="AW61:AX61"/>
    <mergeCell ref="AY61:AZ61"/>
    <mergeCell ref="BA61:BB61"/>
    <mergeCell ref="AZ80:BA80"/>
    <mergeCell ref="AZ81:BA81"/>
    <mergeCell ref="BB81:BB83"/>
    <mergeCell ref="AZ82:BA82"/>
    <mergeCell ref="AZ83:BA83"/>
    <mergeCell ref="AU59:BB60"/>
    <mergeCell ref="AU81:AY81"/>
    <mergeCell ref="AU82:AY82"/>
    <mergeCell ref="AU83:AY83"/>
    <mergeCell ref="AM63:AM67"/>
    <mergeCell ref="AN63:AN67"/>
    <mergeCell ref="AM68:AM70"/>
    <mergeCell ref="AN68:AN70"/>
    <mergeCell ref="AM74:AM76"/>
    <mergeCell ref="AN74:AN76"/>
    <mergeCell ref="BE61:BF61"/>
    <mergeCell ref="BG61:BH61"/>
    <mergeCell ref="BI61:BJ61"/>
    <mergeCell ref="BH80:BI80"/>
    <mergeCell ref="BH81:BI81"/>
    <mergeCell ref="BJ81:BJ83"/>
    <mergeCell ref="BH82:BI82"/>
    <mergeCell ref="BH83:BI83"/>
    <mergeCell ref="BC59:BJ60"/>
    <mergeCell ref="BC80:BG80"/>
    <mergeCell ref="BC81:BG81"/>
    <mergeCell ref="BC82:BG82"/>
    <mergeCell ref="BC83:BG83"/>
    <mergeCell ref="BC61:BD61"/>
    <mergeCell ref="BC63:BC67"/>
    <mergeCell ref="BD63:BD67"/>
    <mergeCell ref="BC68:BC70"/>
    <mergeCell ref="BD68:BD70"/>
    <mergeCell ref="BC74:BC76"/>
    <mergeCell ref="BD74:BD76"/>
    <mergeCell ref="BP80:BQ80"/>
    <mergeCell ref="BP81:BQ81"/>
    <mergeCell ref="BR81:BR83"/>
    <mergeCell ref="BP82:BQ82"/>
    <mergeCell ref="BP83:BQ83"/>
    <mergeCell ref="BK59:BR60"/>
    <mergeCell ref="BK80:BO80"/>
    <mergeCell ref="BK81:BO81"/>
    <mergeCell ref="BK82:BO82"/>
    <mergeCell ref="BK83:BO83"/>
    <mergeCell ref="BK68:BK70"/>
    <mergeCell ref="BL68:BL70"/>
    <mergeCell ref="BK74:BK76"/>
    <mergeCell ref="BL74:BL76"/>
    <mergeCell ref="BM61:BN61"/>
    <mergeCell ref="BO61:BP61"/>
    <mergeCell ref="BQ61:BR61"/>
    <mergeCell ref="BK78:BR79"/>
    <mergeCell ref="BU61:BV61"/>
    <mergeCell ref="BW61:BX61"/>
    <mergeCell ref="BY61:BZ61"/>
    <mergeCell ref="BX80:BY80"/>
    <mergeCell ref="BX81:BY81"/>
    <mergeCell ref="BZ81:BZ83"/>
    <mergeCell ref="BX82:BY82"/>
    <mergeCell ref="BX83:BY83"/>
    <mergeCell ref="BS59:BZ60"/>
    <mergeCell ref="BS80:BW80"/>
    <mergeCell ref="BS81:BW81"/>
    <mergeCell ref="BS82:BW82"/>
    <mergeCell ref="BS83:BW83"/>
    <mergeCell ref="BS61:BT61"/>
    <mergeCell ref="BS63:BS67"/>
    <mergeCell ref="BT63:BT67"/>
    <mergeCell ref="BS68:BS70"/>
    <mergeCell ref="BT68:BT70"/>
    <mergeCell ref="BS74:BS76"/>
    <mergeCell ref="BT74:BT76"/>
    <mergeCell ref="BS78:BZ79"/>
    <mergeCell ref="CC61:CD61"/>
    <mergeCell ref="CE61:CF61"/>
    <mergeCell ref="CG61:CH61"/>
    <mergeCell ref="CF80:CG80"/>
    <mergeCell ref="CF81:CG81"/>
    <mergeCell ref="CH81:CH83"/>
    <mergeCell ref="CF82:CG82"/>
    <mergeCell ref="CF83:CG83"/>
    <mergeCell ref="CA59:CH60"/>
    <mergeCell ref="CA80:CE80"/>
    <mergeCell ref="CA81:CE81"/>
    <mergeCell ref="CA82:CE82"/>
    <mergeCell ref="CA83:CE83"/>
    <mergeCell ref="CA78:CH79"/>
    <mergeCell ref="CK61:CL61"/>
    <mergeCell ref="CM61:CN61"/>
    <mergeCell ref="CO61:CP61"/>
    <mergeCell ref="CN80:CO80"/>
    <mergeCell ref="CN81:CO81"/>
    <mergeCell ref="CP81:CP83"/>
    <mergeCell ref="CN82:CO82"/>
    <mergeCell ref="CN83:CO83"/>
    <mergeCell ref="CI59:CP60"/>
    <mergeCell ref="CI80:CM80"/>
    <mergeCell ref="CI81:CM81"/>
    <mergeCell ref="CI82:CM82"/>
    <mergeCell ref="CI83:CM83"/>
    <mergeCell ref="CI78:CP79"/>
    <mergeCell ref="CI61:CJ61"/>
    <mergeCell ref="CI63:CI67"/>
    <mergeCell ref="CJ63:CJ67"/>
    <mergeCell ref="CI68:CI70"/>
    <mergeCell ref="CJ68:CJ70"/>
    <mergeCell ref="CI74:CI76"/>
    <mergeCell ref="CJ74:CJ76"/>
    <mergeCell ref="CN84:CO84"/>
    <mergeCell ref="K69:N69"/>
    <mergeCell ref="D68:D69"/>
    <mergeCell ref="E68:G68"/>
    <mergeCell ref="E69:G69"/>
    <mergeCell ref="CF84:CG84"/>
    <mergeCell ref="BX84:BY84"/>
    <mergeCell ref="BP84:BQ84"/>
    <mergeCell ref="BH84:BI84"/>
    <mergeCell ref="AZ84:BA84"/>
    <mergeCell ref="AR84:AS84"/>
    <mergeCell ref="AJ84:AK84"/>
    <mergeCell ref="V81:V83"/>
    <mergeCell ref="T81:U81"/>
    <mergeCell ref="K75:N75"/>
    <mergeCell ref="K74:N74"/>
    <mergeCell ref="D74:D76"/>
    <mergeCell ref="E74:G74"/>
    <mergeCell ref="E75:G75"/>
    <mergeCell ref="E76:G76"/>
    <mergeCell ref="D72:G72"/>
    <mergeCell ref="K72:N72"/>
    <mergeCell ref="D73:G73"/>
    <mergeCell ref="K73:N73"/>
    <mergeCell ref="A86:Q86"/>
    <mergeCell ref="A106:Q106"/>
    <mergeCell ref="E108:E109"/>
    <mergeCell ref="B108:D109"/>
    <mergeCell ref="H88:Q88"/>
    <mergeCell ref="B90:G90"/>
    <mergeCell ref="B91:G91"/>
    <mergeCell ref="B92:G92"/>
    <mergeCell ref="B93:G93"/>
    <mergeCell ref="B94:G94"/>
    <mergeCell ref="B99:G99"/>
    <mergeCell ref="B100:G100"/>
    <mergeCell ref="B101:G101"/>
    <mergeCell ref="B102:G102"/>
    <mergeCell ref="B103:G103"/>
    <mergeCell ref="B104:G104"/>
    <mergeCell ref="B88:G89"/>
    <mergeCell ref="B95:G95"/>
    <mergeCell ref="B96:G96"/>
    <mergeCell ref="B97:G97"/>
    <mergeCell ref="B98:G98"/>
    <mergeCell ref="B35:D37"/>
    <mergeCell ref="E35:G35"/>
    <mergeCell ref="K35:N35"/>
    <mergeCell ref="O35:O37"/>
    <mergeCell ref="P35:P37"/>
    <mergeCell ref="E36:G36"/>
    <mergeCell ref="K36:N36"/>
    <mergeCell ref="E37:G37"/>
    <mergeCell ref="K37:N37"/>
    <mergeCell ref="W31:AD32"/>
    <mergeCell ref="W33:X33"/>
    <mergeCell ref="Y33:Z33"/>
    <mergeCell ref="AA33:AB33"/>
    <mergeCell ref="AC33:AD33"/>
    <mergeCell ref="W35:W37"/>
    <mergeCell ref="X35:X37"/>
    <mergeCell ref="W39:AA39"/>
    <mergeCell ref="AB39:AC39"/>
    <mergeCell ref="W40:AA40"/>
    <mergeCell ref="AB40:AC40"/>
    <mergeCell ref="AE40:AI40"/>
    <mergeCell ref="AJ40:AK40"/>
    <mergeCell ref="AM31:AT32"/>
    <mergeCell ref="AM33:AN33"/>
    <mergeCell ref="AO33:AP33"/>
    <mergeCell ref="AQ33:AR33"/>
    <mergeCell ref="AS33:AT33"/>
    <mergeCell ref="AM35:AM37"/>
    <mergeCell ref="AN35:AN37"/>
    <mergeCell ref="AM39:AQ39"/>
    <mergeCell ref="AR39:AS39"/>
    <mergeCell ref="AM40:AQ40"/>
    <mergeCell ref="AR40:AS40"/>
    <mergeCell ref="AE31:AL32"/>
    <mergeCell ref="AE33:AF33"/>
    <mergeCell ref="AG33:AH33"/>
    <mergeCell ref="AI33:AJ33"/>
    <mergeCell ref="AK33:AL33"/>
    <mergeCell ref="AE35:AE37"/>
    <mergeCell ref="AF35:AF37"/>
    <mergeCell ref="AE39:AI39"/>
    <mergeCell ref="AJ39:AK39"/>
    <mergeCell ref="AU40:AY40"/>
    <mergeCell ref="AZ40:BA40"/>
    <mergeCell ref="BC31:BJ32"/>
    <mergeCell ref="BC33:BD33"/>
    <mergeCell ref="BE33:BF33"/>
    <mergeCell ref="BG33:BH33"/>
    <mergeCell ref="BI33:BJ33"/>
    <mergeCell ref="BC35:BC37"/>
    <mergeCell ref="BD35:BD37"/>
    <mergeCell ref="BC39:BG39"/>
    <mergeCell ref="BH39:BI39"/>
    <mergeCell ref="BC40:BG40"/>
    <mergeCell ref="BH40:BI40"/>
    <mergeCell ref="AU31:BB32"/>
    <mergeCell ref="AU33:AV33"/>
    <mergeCell ref="AW33:AX33"/>
    <mergeCell ref="AY33:AZ33"/>
    <mergeCell ref="BA33:BB33"/>
    <mergeCell ref="AU35:AU37"/>
    <mergeCell ref="AV35:AV37"/>
    <mergeCell ref="AU39:AY39"/>
    <mergeCell ref="AZ39:BA39"/>
    <mergeCell ref="BK40:BO40"/>
    <mergeCell ref="BP40:BQ40"/>
    <mergeCell ref="BS31:BZ32"/>
    <mergeCell ref="BS33:BT33"/>
    <mergeCell ref="BU33:BV33"/>
    <mergeCell ref="BW33:BX33"/>
    <mergeCell ref="BY33:BZ33"/>
    <mergeCell ref="BS35:BS37"/>
    <mergeCell ref="BT35:BT37"/>
    <mergeCell ref="BS39:BW39"/>
    <mergeCell ref="BX39:BY39"/>
    <mergeCell ref="BS40:BW40"/>
    <mergeCell ref="BX40:BY40"/>
    <mergeCell ref="BK31:BR32"/>
    <mergeCell ref="BK33:BL33"/>
    <mergeCell ref="BM33:BN33"/>
    <mergeCell ref="BO33:BP33"/>
    <mergeCell ref="BQ33:BR33"/>
    <mergeCell ref="BK35:BK37"/>
    <mergeCell ref="BL35:BL37"/>
    <mergeCell ref="BK39:BO39"/>
    <mergeCell ref="BP39:BQ39"/>
    <mergeCell ref="CA40:CE40"/>
    <mergeCell ref="CF40:CG40"/>
    <mergeCell ref="CI31:CP32"/>
    <mergeCell ref="CI33:CJ33"/>
    <mergeCell ref="CK33:CL33"/>
    <mergeCell ref="CM33:CN33"/>
    <mergeCell ref="CO33:CP33"/>
    <mergeCell ref="CI35:CI37"/>
    <mergeCell ref="CJ35:CJ37"/>
    <mergeCell ref="CI39:CM39"/>
    <mergeCell ref="CN39:CO39"/>
    <mergeCell ref="CI40:CM40"/>
    <mergeCell ref="CN40:CO40"/>
    <mergeCell ref="CA31:CH32"/>
    <mergeCell ref="CA33:CB33"/>
    <mergeCell ref="CC33:CD33"/>
    <mergeCell ref="CE33:CF33"/>
    <mergeCell ref="CG33:CH33"/>
    <mergeCell ref="CA35:CA37"/>
    <mergeCell ref="CB35:CB37"/>
    <mergeCell ref="CA39:CE39"/>
    <mergeCell ref="CF39:CG39"/>
    <mergeCell ref="W49:W51"/>
    <mergeCell ref="X49:X51"/>
    <mergeCell ref="W53:AA53"/>
    <mergeCell ref="AB53:AC53"/>
    <mergeCell ref="W54:AA54"/>
    <mergeCell ref="AB54:AC54"/>
    <mergeCell ref="AE45:AL46"/>
    <mergeCell ref="AE47:AF47"/>
    <mergeCell ref="AG47:AH47"/>
    <mergeCell ref="AI47:AJ47"/>
    <mergeCell ref="AK47:AL47"/>
    <mergeCell ref="AE49:AE51"/>
    <mergeCell ref="AF49:AF51"/>
    <mergeCell ref="AE53:AI53"/>
    <mergeCell ref="AJ53:AK53"/>
    <mergeCell ref="AE54:AI54"/>
    <mergeCell ref="AJ54:AK54"/>
    <mergeCell ref="W45:AD46"/>
    <mergeCell ref="W47:X47"/>
    <mergeCell ref="Y47:Z47"/>
    <mergeCell ref="AA47:AB47"/>
    <mergeCell ref="AC47:AD47"/>
    <mergeCell ref="AM54:AQ54"/>
    <mergeCell ref="AR54:AS54"/>
    <mergeCell ref="AU45:BB46"/>
    <mergeCell ref="AU47:AV47"/>
    <mergeCell ref="AW47:AX47"/>
    <mergeCell ref="AY47:AZ47"/>
    <mergeCell ref="BA47:BB47"/>
    <mergeCell ref="AU49:AU51"/>
    <mergeCell ref="AV49:AV51"/>
    <mergeCell ref="AU53:AY53"/>
    <mergeCell ref="AZ53:BA53"/>
    <mergeCell ref="AU54:AY54"/>
    <mergeCell ref="AZ54:BA54"/>
    <mergeCell ref="AM45:AT46"/>
    <mergeCell ref="AM47:AN47"/>
    <mergeCell ref="AO47:AP47"/>
    <mergeCell ref="AQ47:AR47"/>
    <mergeCell ref="AS47:AT47"/>
    <mergeCell ref="AM49:AM51"/>
    <mergeCell ref="AN49:AN51"/>
    <mergeCell ref="AM53:AQ53"/>
    <mergeCell ref="AR53:AS53"/>
    <mergeCell ref="BC54:BG54"/>
    <mergeCell ref="BH54:BI54"/>
    <mergeCell ref="BK45:BR46"/>
    <mergeCell ref="BK47:BL47"/>
    <mergeCell ref="BM47:BN47"/>
    <mergeCell ref="BO47:BP47"/>
    <mergeCell ref="BQ47:BR47"/>
    <mergeCell ref="BK49:BK51"/>
    <mergeCell ref="BL49:BL51"/>
    <mergeCell ref="BK53:BO53"/>
    <mergeCell ref="BP53:BQ53"/>
    <mergeCell ref="BK54:BO54"/>
    <mergeCell ref="BP54:BQ54"/>
    <mergeCell ref="BC45:BJ46"/>
    <mergeCell ref="BC47:BD47"/>
    <mergeCell ref="BE47:BF47"/>
    <mergeCell ref="BG47:BH47"/>
    <mergeCell ref="BI47:BJ47"/>
    <mergeCell ref="BC49:BC51"/>
    <mergeCell ref="BD49:BD51"/>
    <mergeCell ref="BC53:BG53"/>
    <mergeCell ref="BH53:BI53"/>
    <mergeCell ref="BS54:BW54"/>
    <mergeCell ref="BX54:BY54"/>
    <mergeCell ref="CA45:CH46"/>
    <mergeCell ref="CA47:CB47"/>
    <mergeCell ref="CC47:CD47"/>
    <mergeCell ref="CE47:CF47"/>
    <mergeCell ref="CG47:CH47"/>
    <mergeCell ref="CA49:CA51"/>
    <mergeCell ref="CB49:CB51"/>
    <mergeCell ref="CA53:CE53"/>
    <mergeCell ref="CF53:CG53"/>
    <mergeCell ref="CA54:CE54"/>
    <mergeCell ref="CF54:CG54"/>
    <mergeCell ref="BS45:BZ46"/>
    <mergeCell ref="BS47:BT47"/>
    <mergeCell ref="BU47:BV47"/>
    <mergeCell ref="BW47:BX47"/>
    <mergeCell ref="BY47:BZ47"/>
    <mergeCell ref="BS49:BS51"/>
    <mergeCell ref="BT49:BT51"/>
    <mergeCell ref="BS53:BW53"/>
    <mergeCell ref="BX53:BY53"/>
    <mergeCell ref="CI54:CM54"/>
    <mergeCell ref="CN54:CO54"/>
    <mergeCell ref="CI45:CP46"/>
    <mergeCell ref="CI47:CJ47"/>
    <mergeCell ref="CK47:CL47"/>
    <mergeCell ref="CM47:CN47"/>
    <mergeCell ref="CO47:CP47"/>
    <mergeCell ref="CI49:CI51"/>
    <mergeCell ref="CJ49:CJ51"/>
    <mergeCell ref="CI53:CM53"/>
    <mergeCell ref="CN53:CO53"/>
  </mergeCells>
  <dataValidations count="1">
    <dataValidation type="list" allowBlank="1" showInputMessage="1" showErrorMessage="1" sqref="E108:E109" xr:uid="{63EBA460-761F-45C2-BCE1-3DF7DBE24D90}">
      <formula1>"1,2,3,4,5,6,7,8,9,10"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4A34F-223D-4373-B6E9-C0C8A158FCCC}">
  <dimension ref="A1:P61"/>
  <sheetViews>
    <sheetView workbookViewId="0">
      <selection activeCell="A7" sqref="A7"/>
    </sheetView>
  </sheetViews>
  <sheetFormatPr baseColWidth="10" defaultRowHeight="15" x14ac:dyDescent="0.25"/>
  <cols>
    <col min="11" max="11" width="12.5703125" customWidth="1"/>
    <col min="14" max="15" width="12.5703125" customWidth="1"/>
  </cols>
  <sheetData>
    <row r="1" spans="1:16" ht="15" customHeight="1" thickBot="1" x14ac:dyDescent="0.3">
      <c r="A1" s="711"/>
      <c r="B1" s="550"/>
      <c r="C1" s="712"/>
      <c r="D1" s="702" t="s">
        <v>237</v>
      </c>
      <c r="E1" s="703"/>
      <c r="F1" s="703"/>
      <c r="G1" s="703"/>
      <c r="H1" s="703"/>
      <c r="I1" s="703"/>
      <c r="J1" s="703"/>
      <c r="K1" s="703"/>
      <c r="L1" s="703"/>
      <c r="M1" s="704"/>
      <c r="N1" s="564" t="s">
        <v>408</v>
      </c>
      <c r="O1" s="564"/>
      <c r="P1" s="564"/>
    </row>
    <row r="2" spans="1:16" ht="15" customHeight="1" thickBot="1" x14ac:dyDescent="0.3">
      <c r="A2" s="711"/>
      <c r="B2" s="550"/>
      <c r="C2" s="712"/>
      <c r="D2" s="705"/>
      <c r="E2" s="706"/>
      <c r="F2" s="706"/>
      <c r="G2" s="706"/>
      <c r="H2" s="706"/>
      <c r="I2" s="706"/>
      <c r="J2" s="706"/>
      <c r="K2" s="706"/>
      <c r="L2" s="706"/>
      <c r="M2" s="707"/>
      <c r="N2" s="564"/>
      <c r="O2" s="564"/>
      <c r="P2" s="564"/>
    </row>
    <row r="3" spans="1:16" ht="15" customHeight="1" thickBot="1" x14ac:dyDescent="0.3">
      <c r="A3" s="711"/>
      <c r="B3" s="550"/>
      <c r="C3" s="712"/>
      <c r="D3" s="705"/>
      <c r="E3" s="706"/>
      <c r="F3" s="706"/>
      <c r="G3" s="706"/>
      <c r="H3" s="706"/>
      <c r="I3" s="706"/>
      <c r="J3" s="706"/>
      <c r="K3" s="706"/>
      <c r="L3" s="706"/>
      <c r="M3" s="707"/>
      <c r="N3" s="564" t="s">
        <v>479</v>
      </c>
      <c r="O3" s="564"/>
      <c r="P3" s="564"/>
    </row>
    <row r="4" spans="1:16" ht="15" customHeight="1" thickBot="1" x14ac:dyDescent="0.3">
      <c r="A4" s="711"/>
      <c r="B4" s="550"/>
      <c r="C4" s="712"/>
      <c r="D4" s="705"/>
      <c r="E4" s="706"/>
      <c r="F4" s="706"/>
      <c r="G4" s="706"/>
      <c r="H4" s="706"/>
      <c r="I4" s="706"/>
      <c r="J4" s="706"/>
      <c r="K4" s="706"/>
      <c r="L4" s="706"/>
      <c r="M4" s="707"/>
      <c r="N4" s="564"/>
      <c r="O4" s="564"/>
      <c r="P4" s="564"/>
    </row>
    <row r="5" spans="1:16" ht="15" customHeight="1" thickBot="1" x14ac:dyDescent="0.3">
      <c r="A5" s="711"/>
      <c r="B5" s="550"/>
      <c r="C5" s="712"/>
      <c r="D5" s="705"/>
      <c r="E5" s="706"/>
      <c r="F5" s="706"/>
      <c r="G5" s="706"/>
      <c r="H5" s="706"/>
      <c r="I5" s="706"/>
      <c r="J5" s="706"/>
      <c r="K5" s="706"/>
      <c r="L5" s="706"/>
      <c r="M5" s="707"/>
      <c r="N5" s="564" t="s">
        <v>478</v>
      </c>
      <c r="O5" s="564"/>
      <c r="P5" s="564"/>
    </row>
    <row r="6" spans="1:16" ht="15" customHeight="1" thickBot="1" x14ac:dyDescent="0.3">
      <c r="A6" s="713"/>
      <c r="B6" s="714"/>
      <c r="C6" s="715"/>
      <c r="D6" s="708"/>
      <c r="E6" s="709"/>
      <c r="F6" s="709"/>
      <c r="G6" s="709"/>
      <c r="H6" s="709"/>
      <c r="I6" s="709"/>
      <c r="J6" s="709"/>
      <c r="K6" s="709"/>
      <c r="L6" s="709"/>
      <c r="M6" s="710"/>
      <c r="N6" s="564"/>
      <c r="O6" s="564"/>
      <c r="P6" s="564"/>
    </row>
    <row r="8" spans="1:16" ht="24.95" customHeight="1" x14ac:dyDescent="0.25">
      <c r="A8" s="536"/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  <c r="P8" s="692"/>
    </row>
    <row r="10" spans="1:16" ht="14.45" customHeight="1" x14ac:dyDescent="0.25">
      <c r="A10" s="525" t="s">
        <v>32</v>
      </c>
      <c r="B10" s="498"/>
      <c r="C10" s="498" t="s">
        <v>33</v>
      </c>
      <c r="D10" s="498"/>
      <c r="E10" s="498" t="s">
        <v>34</v>
      </c>
      <c r="F10" s="498"/>
      <c r="G10" s="498" t="s">
        <v>35</v>
      </c>
      <c r="H10" s="498"/>
      <c r="I10" s="504" t="s">
        <v>240</v>
      </c>
      <c r="J10" s="598"/>
      <c r="K10" s="498" t="s">
        <v>36</v>
      </c>
      <c r="L10" s="498" t="s">
        <v>38</v>
      </c>
      <c r="M10" s="498"/>
      <c r="N10" s="498" t="s">
        <v>37</v>
      </c>
      <c r="O10" s="498"/>
      <c r="P10" s="500" t="s">
        <v>39</v>
      </c>
    </row>
    <row r="11" spans="1:16" ht="14.45" customHeight="1" x14ac:dyDescent="0.25">
      <c r="A11" s="525"/>
      <c r="B11" s="498"/>
      <c r="C11" s="498"/>
      <c r="D11" s="498"/>
      <c r="E11" s="498"/>
      <c r="F11" s="498"/>
      <c r="G11" s="498"/>
      <c r="H11" s="498"/>
      <c r="I11" s="507"/>
      <c r="J11" s="659"/>
      <c r="K11" s="498"/>
      <c r="L11" s="498"/>
      <c r="M11" s="498"/>
      <c r="N11" s="498"/>
      <c r="O11" s="498"/>
      <c r="P11" s="500"/>
    </row>
    <row r="12" spans="1:16" ht="14.45" customHeight="1" x14ac:dyDescent="0.25">
      <c r="A12" s="525"/>
      <c r="B12" s="498"/>
      <c r="C12" s="498"/>
      <c r="D12" s="498"/>
      <c r="E12" s="498"/>
      <c r="F12" s="498"/>
      <c r="G12" s="498"/>
      <c r="H12" s="498"/>
      <c r="I12" s="507"/>
      <c r="J12" s="659"/>
      <c r="K12" s="498"/>
      <c r="L12" s="498"/>
      <c r="M12" s="498"/>
      <c r="N12" s="498"/>
      <c r="O12" s="498"/>
      <c r="P12" s="500"/>
    </row>
    <row r="13" spans="1:16" x14ac:dyDescent="0.25">
      <c r="A13" s="525"/>
      <c r="B13" s="498"/>
      <c r="C13" s="498"/>
      <c r="D13" s="498"/>
      <c r="E13" s="498"/>
      <c r="F13" s="498"/>
      <c r="G13" s="498"/>
      <c r="H13" s="498"/>
      <c r="I13" s="700"/>
      <c r="J13" s="701"/>
      <c r="K13" s="498"/>
      <c r="L13" s="498"/>
      <c r="M13" s="498"/>
      <c r="N13" s="498"/>
      <c r="O13" s="498"/>
      <c r="P13" s="500"/>
    </row>
    <row r="14" spans="1:16" x14ac:dyDescent="0.25">
      <c r="A14" s="689" t="s">
        <v>52</v>
      </c>
      <c r="B14" s="689"/>
      <c r="C14" s="694" t="s">
        <v>54</v>
      </c>
      <c r="D14" s="694"/>
      <c r="E14" s="597" t="s">
        <v>45</v>
      </c>
      <c r="F14" s="597"/>
      <c r="G14" s="1">
        <v>0.1</v>
      </c>
      <c r="H14" s="3" t="s">
        <v>16</v>
      </c>
      <c r="I14" s="1">
        <v>1</v>
      </c>
      <c r="J14" s="3" t="s">
        <v>16</v>
      </c>
      <c r="K14" s="42">
        <v>45253</v>
      </c>
      <c r="L14" s="690">
        <v>256880</v>
      </c>
      <c r="M14" s="690"/>
      <c r="N14" s="691" t="s">
        <v>55</v>
      </c>
      <c r="O14" s="691"/>
      <c r="P14" s="40">
        <v>45619</v>
      </c>
    </row>
    <row r="15" spans="1:16" x14ac:dyDescent="0.25">
      <c r="A15" s="689" t="s">
        <v>416</v>
      </c>
      <c r="B15" s="689"/>
      <c r="C15" s="694" t="s">
        <v>54</v>
      </c>
      <c r="D15" s="694"/>
      <c r="E15" s="597" t="s">
        <v>45</v>
      </c>
      <c r="F15" s="597"/>
      <c r="G15" s="1">
        <v>0.1</v>
      </c>
      <c r="H15" s="3" t="s">
        <v>16</v>
      </c>
      <c r="I15" s="1">
        <v>1</v>
      </c>
      <c r="J15" s="3" t="s">
        <v>16</v>
      </c>
      <c r="K15" s="42">
        <v>45404</v>
      </c>
      <c r="L15" s="690">
        <v>268672</v>
      </c>
      <c r="M15" s="690"/>
      <c r="N15" s="691" t="s">
        <v>55</v>
      </c>
      <c r="O15" s="691"/>
      <c r="P15" s="40">
        <v>46499</v>
      </c>
    </row>
    <row r="16" spans="1:16" x14ac:dyDescent="0.25">
      <c r="A16" s="689" t="s">
        <v>53</v>
      </c>
      <c r="B16" s="689"/>
      <c r="C16" s="694" t="s">
        <v>54</v>
      </c>
      <c r="D16" s="694"/>
      <c r="E16" s="597" t="s">
        <v>45</v>
      </c>
      <c r="F16" s="597"/>
      <c r="G16" s="1">
        <v>0.1</v>
      </c>
      <c r="H16" s="3" t="s">
        <v>16</v>
      </c>
      <c r="I16" s="1">
        <v>0.8</v>
      </c>
      <c r="J16" s="3" t="s">
        <v>16</v>
      </c>
      <c r="K16" s="42">
        <v>45366</v>
      </c>
      <c r="L16" s="690">
        <v>268637</v>
      </c>
      <c r="M16" s="690"/>
      <c r="N16" s="691" t="s">
        <v>55</v>
      </c>
      <c r="O16" s="691"/>
      <c r="P16" s="40">
        <v>45987</v>
      </c>
    </row>
    <row r="17" spans="1:16" x14ac:dyDescent="0.25">
      <c r="A17" s="695" t="s">
        <v>474</v>
      </c>
      <c r="B17" s="696"/>
      <c r="C17" s="697" t="s">
        <v>54</v>
      </c>
      <c r="D17" s="698"/>
      <c r="E17" s="699" t="s">
        <v>45</v>
      </c>
      <c r="F17" s="596"/>
      <c r="G17" s="1">
        <v>0.1</v>
      </c>
      <c r="H17" s="3" t="s">
        <v>16</v>
      </c>
      <c r="I17" s="1">
        <v>1</v>
      </c>
      <c r="J17" s="3" t="s">
        <v>16</v>
      </c>
      <c r="K17" s="42">
        <v>45455</v>
      </c>
      <c r="L17" s="690">
        <v>271874</v>
      </c>
      <c r="M17" s="690"/>
      <c r="N17" s="691" t="s">
        <v>55</v>
      </c>
      <c r="O17" s="691"/>
      <c r="P17" s="40">
        <v>46185</v>
      </c>
    </row>
    <row r="18" spans="1:16" x14ac:dyDescent="0.25">
      <c r="A18" s="689" t="s">
        <v>52</v>
      </c>
      <c r="B18" s="689"/>
      <c r="C18" s="694" t="s">
        <v>54</v>
      </c>
      <c r="D18" s="694"/>
      <c r="E18" s="597" t="s">
        <v>46</v>
      </c>
      <c r="F18" s="597"/>
      <c r="G18" s="1">
        <v>0.1</v>
      </c>
      <c r="H18" s="3" t="s">
        <v>48</v>
      </c>
      <c r="I18" s="1">
        <v>5</v>
      </c>
      <c r="J18" s="3" t="s">
        <v>48</v>
      </c>
      <c r="K18" s="42">
        <v>45253</v>
      </c>
      <c r="L18" s="690">
        <v>256880</v>
      </c>
      <c r="M18" s="690"/>
      <c r="N18" s="691" t="s">
        <v>55</v>
      </c>
      <c r="O18" s="691"/>
      <c r="P18" s="40">
        <v>45619</v>
      </c>
    </row>
    <row r="19" spans="1:16" x14ac:dyDescent="0.25">
      <c r="A19" s="689" t="s">
        <v>416</v>
      </c>
      <c r="B19" s="689"/>
      <c r="C19" s="694" t="s">
        <v>54</v>
      </c>
      <c r="D19" s="694"/>
      <c r="E19" s="597" t="s">
        <v>46</v>
      </c>
      <c r="F19" s="597"/>
      <c r="G19" s="1">
        <v>0.1</v>
      </c>
      <c r="H19" s="3" t="s">
        <v>48</v>
      </c>
      <c r="I19" s="1">
        <v>8</v>
      </c>
      <c r="J19" s="3" t="s">
        <v>48</v>
      </c>
      <c r="K19" s="42">
        <v>45404</v>
      </c>
      <c r="L19" s="690">
        <v>268672</v>
      </c>
      <c r="M19" s="690"/>
      <c r="N19" s="691" t="s">
        <v>55</v>
      </c>
      <c r="O19" s="691"/>
      <c r="P19" s="40">
        <v>46499</v>
      </c>
    </row>
    <row r="20" spans="1:16" x14ac:dyDescent="0.25">
      <c r="A20" s="689" t="s">
        <v>53</v>
      </c>
      <c r="B20" s="689"/>
      <c r="C20" s="694" t="s">
        <v>54</v>
      </c>
      <c r="D20" s="694"/>
      <c r="E20" s="597" t="s">
        <v>46</v>
      </c>
      <c r="F20" s="597"/>
      <c r="G20" s="1">
        <v>0.1</v>
      </c>
      <c r="H20" s="3" t="s">
        <v>48</v>
      </c>
      <c r="I20" s="1">
        <v>4</v>
      </c>
      <c r="J20" s="3" t="s">
        <v>48</v>
      </c>
      <c r="K20" s="42">
        <v>45366</v>
      </c>
      <c r="L20" s="690">
        <v>268637</v>
      </c>
      <c r="M20" s="690"/>
      <c r="N20" s="691" t="s">
        <v>55</v>
      </c>
      <c r="O20" s="691"/>
      <c r="P20" s="40">
        <v>45987</v>
      </c>
    </row>
    <row r="21" spans="1:16" x14ac:dyDescent="0.25">
      <c r="A21" s="689" t="s">
        <v>474</v>
      </c>
      <c r="B21" s="689"/>
      <c r="C21" s="694" t="s">
        <v>54</v>
      </c>
      <c r="D21" s="694"/>
      <c r="E21" s="597" t="s">
        <v>46</v>
      </c>
      <c r="F21" s="597"/>
      <c r="G21" s="1">
        <v>1</v>
      </c>
      <c r="H21" s="3" t="s">
        <v>48</v>
      </c>
      <c r="I21" s="1">
        <v>5</v>
      </c>
      <c r="J21" s="3" t="s">
        <v>48</v>
      </c>
      <c r="K21" s="110">
        <v>45455</v>
      </c>
      <c r="L21" s="716">
        <v>271874</v>
      </c>
      <c r="M21" s="716"/>
      <c r="N21" s="717" t="s">
        <v>55</v>
      </c>
      <c r="O21" s="717"/>
      <c r="P21" s="107">
        <v>46185</v>
      </c>
    </row>
    <row r="22" spans="1:16" x14ac:dyDescent="0.25">
      <c r="A22" s="689" t="s">
        <v>194</v>
      </c>
      <c r="B22" s="689"/>
      <c r="C22" s="694" t="s">
        <v>379</v>
      </c>
      <c r="D22" s="694"/>
      <c r="E22" s="597" t="s">
        <v>195</v>
      </c>
      <c r="F22" s="597"/>
      <c r="G22" s="3">
        <v>0.01</v>
      </c>
      <c r="H22" s="3" t="s">
        <v>196</v>
      </c>
      <c r="I22" s="3">
        <v>1.0500000000000001E-2</v>
      </c>
      <c r="J22" s="3" t="s">
        <v>196</v>
      </c>
      <c r="K22" s="42">
        <v>45407</v>
      </c>
      <c r="L22" s="690" t="s">
        <v>466</v>
      </c>
      <c r="M22" s="690"/>
      <c r="N22" s="690" t="s">
        <v>413</v>
      </c>
      <c r="O22" s="690"/>
      <c r="P22" s="40">
        <v>46137</v>
      </c>
    </row>
    <row r="23" spans="1:16" x14ac:dyDescent="0.25">
      <c r="A23" s="689" t="s">
        <v>205</v>
      </c>
      <c r="B23" s="689"/>
      <c r="C23" s="694" t="s">
        <v>380</v>
      </c>
      <c r="D23" s="694"/>
      <c r="E23" s="597" t="s">
        <v>195</v>
      </c>
      <c r="F23" s="597"/>
      <c r="G23" s="3">
        <v>0.1</v>
      </c>
      <c r="H23" s="3" t="s">
        <v>196</v>
      </c>
      <c r="I23" s="3">
        <v>2.1</v>
      </c>
      <c r="J23" s="3" t="s">
        <v>196</v>
      </c>
      <c r="K23" s="42">
        <v>45469</v>
      </c>
      <c r="L23" s="690" t="s">
        <v>513</v>
      </c>
      <c r="M23" s="690"/>
      <c r="N23" s="690" t="s">
        <v>413</v>
      </c>
      <c r="O23" s="690"/>
      <c r="P23" s="40">
        <v>46199</v>
      </c>
    </row>
    <row r="24" spans="1:16" x14ac:dyDescent="0.25">
      <c r="A24" s="689" t="s">
        <v>206</v>
      </c>
      <c r="B24" s="689"/>
      <c r="C24" s="694" t="s">
        <v>380</v>
      </c>
      <c r="D24" s="694"/>
      <c r="E24" s="597" t="s">
        <v>195</v>
      </c>
      <c r="F24" s="597"/>
      <c r="G24" s="3">
        <v>0.1</v>
      </c>
      <c r="H24" s="3" t="s">
        <v>196</v>
      </c>
      <c r="I24" s="3">
        <v>0.35</v>
      </c>
      <c r="J24" s="3" t="s">
        <v>196</v>
      </c>
      <c r="K24" s="42">
        <v>45408</v>
      </c>
      <c r="L24" s="690" t="s">
        <v>467</v>
      </c>
      <c r="M24" s="690"/>
      <c r="N24" s="690" t="s">
        <v>413</v>
      </c>
      <c r="O24" s="690"/>
      <c r="P24" s="40">
        <v>46138</v>
      </c>
    </row>
    <row r="25" spans="1:16" x14ac:dyDescent="0.25">
      <c r="A25" s="689" t="s">
        <v>40</v>
      </c>
      <c r="B25" s="689"/>
      <c r="C25" s="694" t="s">
        <v>43</v>
      </c>
      <c r="D25" s="694"/>
      <c r="E25" s="597" t="s">
        <v>44</v>
      </c>
      <c r="F25" s="597"/>
      <c r="G25" s="3">
        <v>0.01</v>
      </c>
      <c r="H25" s="3" t="s">
        <v>16</v>
      </c>
      <c r="I25" s="3" t="s">
        <v>417</v>
      </c>
      <c r="J25" s="3" t="s">
        <v>16</v>
      </c>
      <c r="K25" s="42">
        <v>45334</v>
      </c>
      <c r="L25" s="690" t="s">
        <v>412</v>
      </c>
      <c r="M25" s="690"/>
      <c r="N25" s="691" t="s">
        <v>413</v>
      </c>
      <c r="O25" s="691"/>
      <c r="P25" s="40">
        <v>46065</v>
      </c>
    </row>
    <row r="26" spans="1:16" x14ac:dyDescent="0.25">
      <c r="A26" s="689" t="s">
        <v>41</v>
      </c>
      <c r="B26" s="689"/>
      <c r="C26" s="694" t="s">
        <v>43</v>
      </c>
      <c r="D26" s="694"/>
      <c r="E26" s="597" t="s">
        <v>44</v>
      </c>
      <c r="F26" s="597"/>
      <c r="G26" s="3">
        <v>0.01</v>
      </c>
      <c r="H26" s="3" t="s">
        <v>16</v>
      </c>
      <c r="I26" s="3" t="s">
        <v>417</v>
      </c>
      <c r="J26" s="3" t="s">
        <v>16</v>
      </c>
      <c r="K26" s="42">
        <v>45254</v>
      </c>
      <c r="L26" s="690" t="s">
        <v>49</v>
      </c>
      <c r="M26" s="690"/>
      <c r="N26" s="691" t="s">
        <v>50</v>
      </c>
      <c r="O26" s="691"/>
      <c r="P26" s="40">
        <v>45620</v>
      </c>
    </row>
    <row r="27" spans="1:16" x14ac:dyDescent="0.25">
      <c r="A27" s="689" t="s">
        <v>42</v>
      </c>
      <c r="B27" s="689"/>
      <c r="C27" s="694" t="s">
        <v>43</v>
      </c>
      <c r="D27" s="694"/>
      <c r="E27" s="597" t="s">
        <v>44</v>
      </c>
      <c r="F27" s="597"/>
      <c r="G27" s="3">
        <v>0.01</v>
      </c>
      <c r="H27" s="3" t="s">
        <v>16</v>
      </c>
      <c r="I27" s="3" t="s">
        <v>417</v>
      </c>
      <c r="J27" s="3" t="s">
        <v>16</v>
      </c>
      <c r="K27" s="42">
        <v>45224</v>
      </c>
      <c r="L27" s="690" t="s">
        <v>51</v>
      </c>
      <c r="M27" s="690"/>
      <c r="N27" s="691" t="s">
        <v>50</v>
      </c>
      <c r="O27" s="691"/>
      <c r="P27" s="40">
        <v>45590</v>
      </c>
    </row>
    <row r="28" spans="1:16" x14ac:dyDescent="0.25">
      <c r="A28" s="689" t="s">
        <v>409</v>
      </c>
      <c r="B28" s="689"/>
      <c r="C28" s="694" t="s">
        <v>514</v>
      </c>
      <c r="D28" s="694"/>
      <c r="E28" s="597" t="s">
        <v>209</v>
      </c>
      <c r="F28" s="597"/>
      <c r="G28" s="3">
        <v>1</v>
      </c>
      <c r="H28" s="3" t="s">
        <v>208</v>
      </c>
      <c r="I28" s="3">
        <v>0.6</v>
      </c>
      <c r="J28" s="3" t="s">
        <v>208</v>
      </c>
      <c r="K28" s="42">
        <v>45490</v>
      </c>
      <c r="L28" s="690" t="s">
        <v>515</v>
      </c>
      <c r="M28" s="690"/>
      <c r="N28" s="691" t="s">
        <v>413</v>
      </c>
      <c r="O28" s="691"/>
      <c r="P28" s="40">
        <v>46220</v>
      </c>
    </row>
    <row r="29" spans="1:16" x14ac:dyDescent="0.25">
      <c r="A29" s="4">
        <v>1</v>
      </c>
      <c r="B29" s="4">
        <v>2</v>
      </c>
      <c r="C29" s="4">
        <v>3</v>
      </c>
      <c r="D29" s="4">
        <v>4</v>
      </c>
      <c r="E29" s="4">
        <v>5</v>
      </c>
      <c r="F29" s="4">
        <v>6</v>
      </c>
      <c r="G29" s="4">
        <v>7</v>
      </c>
      <c r="H29" s="4">
        <v>8</v>
      </c>
      <c r="I29" s="4">
        <v>9</v>
      </c>
      <c r="J29" s="4">
        <v>10</v>
      </c>
      <c r="K29" s="4">
        <v>11</v>
      </c>
      <c r="L29" s="4">
        <v>12</v>
      </c>
      <c r="M29" s="4">
        <v>13</v>
      </c>
      <c r="N29" s="4">
        <v>14</v>
      </c>
      <c r="O29" s="4">
        <v>15</v>
      </c>
      <c r="P29" s="4">
        <v>16</v>
      </c>
    </row>
    <row r="30" spans="1:16" x14ac:dyDescent="0.25">
      <c r="A30" s="693" t="s">
        <v>47</v>
      </c>
      <c r="B30" s="693"/>
      <c r="C30" s="693"/>
      <c r="D30" s="693"/>
      <c r="E30" s="693"/>
      <c r="F30" s="693"/>
      <c r="G30" s="693"/>
      <c r="H30" s="693"/>
      <c r="I30" s="693"/>
      <c r="J30" s="693"/>
      <c r="K30" s="693"/>
      <c r="L30" s="693"/>
      <c r="M30" s="693"/>
      <c r="N30" s="693"/>
      <c r="O30" s="693"/>
      <c r="P30" s="693"/>
    </row>
    <row r="32" spans="1:16" ht="24.95" customHeight="1" x14ac:dyDescent="0.25">
      <c r="A32" s="536"/>
      <c r="B32" s="536"/>
      <c r="C32" s="536"/>
      <c r="D32" s="536"/>
      <c r="E32" s="536"/>
      <c r="F32" s="536"/>
      <c r="G32" s="536"/>
      <c r="H32" s="536"/>
      <c r="I32" s="536"/>
      <c r="J32" s="536"/>
      <c r="K32" s="536"/>
      <c r="L32" s="536"/>
      <c r="M32" s="536"/>
      <c r="N32" s="536"/>
      <c r="O32" s="536"/>
      <c r="P32" s="692"/>
    </row>
    <row r="33" spans="2:12" x14ac:dyDescent="0.25">
      <c r="I33" s="51"/>
      <c r="J33" s="51"/>
    </row>
    <row r="34" spans="2:12" ht="14.45" customHeight="1" x14ac:dyDescent="0.25">
      <c r="B34" s="688" t="s">
        <v>59</v>
      </c>
      <c r="C34" s="688"/>
      <c r="D34" s="688"/>
      <c r="F34" s="688" t="s">
        <v>211</v>
      </c>
      <c r="G34" s="688"/>
      <c r="H34" s="688"/>
      <c r="I34" s="51"/>
      <c r="J34" s="688" t="s">
        <v>224</v>
      </c>
      <c r="K34" s="688"/>
      <c r="L34" s="688"/>
    </row>
    <row r="35" spans="2:12" x14ac:dyDescent="0.25">
      <c r="B35" s="688"/>
      <c r="C35" s="688"/>
      <c r="D35" s="688"/>
      <c r="F35" s="688"/>
      <c r="G35" s="688"/>
      <c r="H35" s="688"/>
      <c r="I35" s="51"/>
      <c r="J35" s="688"/>
      <c r="K35" s="688"/>
      <c r="L35" s="688"/>
    </row>
    <row r="36" spans="2:12" ht="14.45" customHeight="1" x14ac:dyDescent="0.25">
      <c r="B36" s="689" t="s">
        <v>8</v>
      </c>
      <c r="C36" s="689"/>
      <c r="D36" s="689"/>
      <c r="F36" s="597" t="s">
        <v>215</v>
      </c>
      <c r="G36" s="597"/>
      <c r="H36" s="597"/>
      <c r="I36" s="51"/>
      <c r="J36" s="3" t="str">
        <f t="shared" ref="J36:J48" si="0">F36</f>
        <v>atm</v>
      </c>
      <c r="K36" s="3" t="s">
        <v>213</v>
      </c>
      <c r="L36" s="47">
        <v>101325</v>
      </c>
    </row>
    <row r="37" spans="2:12" x14ac:dyDescent="0.25">
      <c r="B37" s="689" t="s">
        <v>7</v>
      </c>
      <c r="C37" s="689"/>
      <c r="D37" s="689"/>
      <c r="F37" s="597" t="s">
        <v>212</v>
      </c>
      <c r="G37" s="597"/>
      <c r="H37" s="597"/>
      <c r="I37" s="51"/>
      <c r="J37" s="3" t="str">
        <f t="shared" si="0"/>
        <v>bar</v>
      </c>
      <c r="K37" s="3" t="s">
        <v>213</v>
      </c>
      <c r="L37" s="47">
        <v>100000</v>
      </c>
    </row>
    <row r="38" spans="2:12" ht="14.45" customHeight="1" x14ac:dyDescent="0.25">
      <c r="F38" s="597" t="s">
        <v>216</v>
      </c>
      <c r="G38" s="597"/>
      <c r="H38" s="597"/>
      <c r="I38" s="51"/>
      <c r="J38" s="3" t="str">
        <f t="shared" si="0"/>
        <v>cmHg</v>
      </c>
      <c r="K38" s="3" t="s">
        <v>213</v>
      </c>
      <c r="L38" s="47">
        <v>1333.2239999999999</v>
      </c>
    </row>
    <row r="39" spans="2:12" ht="14.45" customHeight="1" x14ac:dyDescent="0.25">
      <c r="B39" s="688" t="s">
        <v>227</v>
      </c>
      <c r="C39" s="688"/>
      <c r="D39" s="688"/>
      <c r="F39" s="597" t="s">
        <v>221</v>
      </c>
      <c r="G39" s="597"/>
      <c r="H39" s="597"/>
      <c r="I39" s="51"/>
      <c r="J39" s="3" t="str">
        <f t="shared" si="0"/>
        <v>dyn cm-2</v>
      </c>
      <c r="K39" s="3" t="s">
        <v>213</v>
      </c>
      <c r="L39" s="47">
        <v>0.1</v>
      </c>
    </row>
    <row r="40" spans="2:12" ht="17.25" x14ac:dyDescent="0.25">
      <c r="B40" s="688"/>
      <c r="C40" s="688"/>
      <c r="D40" s="688"/>
      <c r="F40" s="597" t="s">
        <v>217</v>
      </c>
      <c r="G40" s="597"/>
      <c r="H40" s="597"/>
      <c r="I40" s="51"/>
      <c r="J40" s="3" t="str">
        <f t="shared" si="0"/>
        <v>gf cm-2</v>
      </c>
      <c r="K40" s="3" t="s">
        <v>213</v>
      </c>
      <c r="L40" s="47">
        <v>98.066500000000005</v>
      </c>
    </row>
    <row r="41" spans="2:12" x14ac:dyDescent="0.25">
      <c r="B41" s="689" t="s">
        <v>228</v>
      </c>
      <c r="C41" s="689"/>
      <c r="D41" s="689"/>
      <c r="F41" s="597" t="s">
        <v>219</v>
      </c>
      <c r="G41" s="597"/>
      <c r="H41" s="597"/>
      <c r="I41" s="51"/>
      <c r="J41" s="3" t="str">
        <f t="shared" si="0"/>
        <v>hPa</v>
      </c>
      <c r="K41" s="3" t="s">
        <v>213</v>
      </c>
      <c r="L41" s="47">
        <v>100</v>
      </c>
    </row>
    <row r="42" spans="2:12" ht="17.25" x14ac:dyDescent="0.25">
      <c r="B42" s="689" t="s">
        <v>229</v>
      </c>
      <c r="C42" s="689"/>
      <c r="D42" s="689"/>
      <c r="F42" s="597" t="s">
        <v>218</v>
      </c>
      <c r="G42" s="597"/>
      <c r="H42" s="597"/>
      <c r="I42" s="51"/>
      <c r="J42" s="3" t="str">
        <f t="shared" si="0"/>
        <v>kgf cm-2</v>
      </c>
      <c r="K42" s="3" t="s">
        <v>213</v>
      </c>
      <c r="L42" s="47">
        <v>98066.5</v>
      </c>
    </row>
    <row r="43" spans="2:12" x14ac:dyDescent="0.25">
      <c r="F43" s="597" t="s">
        <v>214</v>
      </c>
      <c r="G43" s="597"/>
      <c r="H43" s="597"/>
      <c r="I43" s="51"/>
      <c r="J43" s="3" t="str">
        <f t="shared" si="0"/>
        <v>kPa</v>
      </c>
      <c r="K43" s="3" t="s">
        <v>213</v>
      </c>
      <c r="L43" s="47">
        <v>1000</v>
      </c>
    </row>
    <row r="44" spans="2:12" x14ac:dyDescent="0.25">
      <c r="B44" s="688" t="s">
        <v>470</v>
      </c>
      <c r="C44" s="688"/>
      <c r="D44" s="688"/>
      <c r="F44" s="597" t="s">
        <v>222</v>
      </c>
      <c r="G44" s="597"/>
      <c r="H44" s="597"/>
      <c r="I44" s="51"/>
      <c r="J44" s="3" t="str">
        <f t="shared" si="0"/>
        <v>mbar</v>
      </c>
      <c r="K44" s="3" t="s">
        <v>213</v>
      </c>
      <c r="L44" s="47">
        <v>100</v>
      </c>
    </row>
    <row r="45" spans="2:12" x14ac:dyDescent="0.25">
      <c r="B45" s="688"/>
      <c r="C45" s="688"/>
      <c r="D45" s="688"/>
      <c r="F45" s="597" t="s">
        <v>223</v>
      </c>
      <c r="G45" s="597"/>
      <c r="H45" s="597"/>
      <c r="I45" s="51"/>
      <c r="J45" s="3" t="str">
        <f t="shared" si="0"/>
        <v>mmHg</v>
      </c>
      <c r="K45" s="3" t="s">
        <v>213</v>
      </c>
      <c r="L45" s="47">
        <v>133.32239999999999</v>
      </c>
    </row>
    <row r="46" spans="2:12" x14ac:dyDescent="0.25">
      <c r="B46" s="689" t="s">
        <v>148</v>
      </c>
      <c r="C46" s="689"/>
      <c r="D46" s="689"/>
      <c r="F46" s="597" t="s">
        <v>213</v>
      </c>
      <c r="G46" s="597"/>
      <c r="H46" s="597"/>
      <c r="I46" s="48"/>
      <c r="J46" s="3" t="str">
        <f t="shared" si="0"/>
        <v>Pa</v>
      </c>
      <c r="K46" s="3" t="s">
        <v>213</v>
      </c>
      <c r="L46" s="3">
        <v>1</v>
      </c>
    </row>
    <row r="47" spans="2:12" x14ac:dyDescent="0.25">
      <c r="B47" s="689" t="s">
        <v>471</v>
      </c>
      <c r="C47" s="689"/>
      <c r="D47" s="689"/>
      <c r="F47" s="597" t="s">
        <v>196</v>
      </c>
      <c r="G47" s="597"/>
      <c r="H47" s="597"/>
      <c r="I47" s="51"/>
      <c r="J47" s="3" t="str">
        <f t="shared" si="0"/>
        <v>psi</v>
      </c>
      <c r="K47" s="3" t="s">
        <v>213</v>
      </c>
      <c r="L47" s="47">
        <v>6894.7569999999996</v>
      </c>
    </row>
    <row r="48" spans="2:12" x14ac:dyDescent="0.25">
      <c r="F48" s="597" t="s">
        <v>220</v>
      </c>
      <c r="G48" s="597"/>
      <c r="H48" s="597"/>
      <c r="I48" s="51"/>
      <c r="J48" s="3" t="str">
        <f t="shared" si="0"/>
        <v>Torr</v>
      </c>
      <c r="K48" s="3" t="s">
        <v>213</v>
      </c>
      <c r="L48" s="47">
        <v>133.32239999999999</v>
      </c>
    </row>
    <row r="49" spans="9:12" x14ac:dyDescent="0.25">
      <c r="I49" s="51"/>
      <c r="J49" s="3" t="s">
        <v>213</v>
      </c>
      <c r="K49" s="3" t="str">
        <f t="shared" ref="K49:K61" si="1">F36</f>
        <v>atm</v>
      </c>
      <c r="L49" s="47">
        <f>1/L36</f>
        <v>9.8692326671601285E-6</v>
      </c>
    </row>
    <row r="50" spans="9:12" x14ac:dyDescent="0.25">
      <c r="I50" s="51"/>
      <c r="J50" s="3" t="s">
        <v>213</v>
      </c>
      <c r="K50" s="3" t="str">
        <f t="shared" si="1"/>
        <v>bar</v>
      </c>
      <c r="L50" s="47">
        <f t="shared" ref="L50:L61" si="2">1/L37</f>
        <v>1.0000000000000001E-5</v>
      </c>
    </row>
    <row r="51" spans="9:12" x14ac:dyDescent="0.25">
      <c r="I51" s="51"/>
      <c r="J51" s="3" t="s">
        <v>213</v>
      </c>
      <c r="K51" s="3" t="str">
        <f t="shared" si="1"/>
        <v>cmHg</v>
      </c>
      <c r="L51" s="47">
        <f t="shared" si="2"/>
        <v>7.5006150504341356E-4</v>
      </c>
    </row>
    <row r="52" spans="9:12" x14ac:dyDescent="0.25">
      <c r="I52" s="51"/>
      <c r="J52" s="3" t="s">
        <v>213</v>
      </c>
      <c r="K52" s="3" t="str">
        <f t="shared" si="1"/>
        <v>dyn cm-2</v>
      </c>
      <c r="L52" s="47">
        <f t="shared" si="2"/>
        <v>10</v>
      </c>
    </row>
    <row r="53" spans="9:12" x14ac:dyDescent="0.25">
      <c r="I53" s="51"/>
      <c r="J53" s="3" t="s">
        <v>213</v>
      </c>
      <c r="K53" s="3" t="str">
        <f t="shared" si="1"/>
        <v>gf cm-2</v>
      </c>
      <c r="L53" s="47">
        <f t="shared" si="2"/>
        <v>1.0197162129779282E-2</v>
      </c>
    </row>
    <row r="54" spans="9:12" x14ac:dyDescent="0.25">
      <c r="I54" s="51"/>
      <c r="J54" s="3" t="s">
        <v>213</v>
      </c>
      <c r="K54" s="3" t="str">
        <f t="shared" si="1"/>
        <v>hPa</v>
      </c>
      <c r="L54" s="47">
        <f t="shared" si="2"/>
        <v>0.01</v>
      </c>
    </row>
    <row r="55" spans="9:12" x14ac:dyDescent="0.25">
      <c r="I55" s="51"/>
      <c r="J55" s="3" t="s">
        <v>213</v>
      </c>
      <c r="K55" s="3" t="str">
        <f t="shared" si="1"/>
        <v>kgf cm-2</v>
      </c>
      <c r="L55" s="47">
        <f t="shared" si="2"/>
        <v>1.0197162129779282E-5</v>
      </c>
    </row>
    <row r="56" spans="9:12" x14ac:dyDescent="0.25">
      <c r="I56" s="51"/>
      <c r="J56" s="3" t="s">
        <v>213</v>
      </c>
      <c r="K56" s="3" t="str">
        <f t="shared" si="1"/>
        <v>kPa</v>
      </c>
      <c r="L56" s="47">
        <f t="shared" si="2"/>
        <v>1E-3</v>
      </c>
    </row>
    <row r="57" spans="9:12" x14ac:dyDescent="0.25">
      <c r="I57" s="51"/>
      <c r="J57" s="3" t="s">
        <v>213</v>
      </c>
      <c r="K57" s="3" t="str">
        <f t="shared" si="1"/>
        <v>mbar</v>
      </c>
      <c r="L57" s="47">
        <f t="shared" si="2"/>
        <v>0.01</v>
      </c>
    </row>
    <row r="58" spans="9:12" x14ac:dyDescent="0.25">
      <c r="I58" s="51"/>
      <c r="J58" s="3" t="s">
        <v>213</v>
      </c>
      <c r="K58" s="3" t="str">
        <f t="shared" si="1"/>
        <v>mmHg</v>
      </c>
      <c r="L58" s="47">
        <f t="shared" si="2"/>
        <v>7.5006150504341364E-3</v>
      </c>
    </row>
    <row r="59" spans="9:12" x14ac:dyDescent="0.25">
      <c r="I59" s="51"/>
      <c r="J59" s="3" t="s">
        <v>213</v>
      </c>
      <c r="K59" s="3" t="str">
        <f t="shared" si="1"/>
        <v>Pa</v>
      </c>
      <c r="L59" s="47">
        <f t="shared" si="2"/>
        <v>1</v>
      </c>
    </row>
    <row r="60" spans="9:12" x14ac:dyDescent="0.25">
      <c r="I60" s="51"/>
      <c r="J60" s="3" t="s">
        <v>213</v>
      </c>
      <c r="K60" s="3" t="str">
        <f t="shared" si="1"/>
        <v>psi</v>
      </c>
      <c r="L60" s="47">
        <f t="shared" si="2"/>
        <v>1.4503774389728312E-4</v>
      </c>
    </row>
    <row r="61" spans="9:12" x14ac:dyDescent="0.25">
      <c r="I61" s="51"/>
      <c r="J61" s="3" t="s">
        <v>213</v>
      </c>
      <c r="K61" s="3" t="str">
        <f t="shared" si="1"/>
        <v>Torr</v>
      </c>
      <c r="L61" s="47">
        <f t="shared" si="2"/>
        <v>7.5006150504341364E-3</v>
      </c>
    </row>
  </sheetData>
  <sheetProtection algorithmName="SHA-512" hashValue="ske331ev/mu1+VoSidJ2pvanRIPRViWGotll9KxE4GoGQ/mk230kVTDkUkWIYFLoeWS0KrKUstmB501AR/otaw==" saltValue="5AN7tmTigdg8NNCCFRnwgA==" spinCount="100000" sheet="1" objects="1" scenarios="1"/>
  <mergeCells count="116">
    <mergeCell ref="D1:M6"/>
    <mergeCell ref="A1:C6"/>
    <mergeCell ref="L22:M22"/>
    <mergeCell ref="N22:O22"/>
    <mergeCell ref="A21:B21"/>
    <mergeCell ref="C21:D21"/>
    <mergeCell ref="E21:F21"/>
    <mergeCell ref="L21:M21"/>
    <mergeCell ref="N21:O21"/>
    <mergeCell ref="A8:P8"/>
    <mergeCell ref="N1:P2"/>
    <mergeCell ref="N3:P4"/>
    <mergeCell ref="N5:P6"/>
    <mergeCell ref="P10:P13"/>
    <mergeCell ref="E10:F13"/>
    <mergeCell ref="G10:H13"/>
    <mergeCell ref="C10:D13"/>
    <mergeCell ref="A10:B13"/>
    <mergeCell ref="A18:B18"/>
    <mergeCell ref="C18:D18"/>
    <mergeCell ref="L15:M15"/>
    <mergeCell ref="N15:O15"/>
    <mergeCell ref="A16:B16"/>
    <mergeCell ref="C16:D16"/>
    <mergeCell ref="E16:F16"/>
    <mergeCell ref="L16:M16"/>
    <mergeCell ref="N16:O16"/>
    <mergeCell ref="A15:B15"/>
    <mergeCell ref="K10:K13"/>
    <mergeCell ref="L10:M13"/>
    <mergeCell ref="N10:O13"/>
    <mergeCell ref="A17:B17"/>
    <mergeCell ref="C17:D17"/>
    <mergeCell ref="E17:F17"/>
    <mergeCell ref="L17:M17"/>
    <mergeCell ref="N17:O17"/>
    <mergeCell ref="I10:J13"/>
    <mergeCell ref="C15:D15"/>
    <mergeCell ref="E15:F15"/>
    <mergeCell ref="A14:B14"/>
    <mergeCell ref="C14:D14"/>
    <mergeCell ref="E14:F14"/>
    <mergeCell ref="L14:M14"/>
    <mergeCell ref="N14:O14"/>
    <mergeCell ref="A24:B24"/>
    <mergeCell ref="C24:D24"/>
    <mergeCell ref="E24:F24"/>
    <mergeCell ref="L24:M24"/>
    <mergeCell ref="N24:O24"/>
    <mergeCell ref="A19:B19"/>
    <mergeCell ref="C19:D19"/>
    <mergeCell ref="E19:F19"/>
    <mergeCell ref="L19:M19"/>
    <mergeCell ref="N19:O19"/>
    <mergeCell ref="A23:B23"/>
    <mergeCell ref="C23:D23"/>
    <mergeCell ref="E23:F23"/>
    <mergeCell ref="L23:M23"/>
    <mergeCell ref="N23:O23"/>
    <mergeCell ref="A22:B22"/>
    <mergeCell ref="C22:D22"/>
    <mergeCell ref="E22:F22"/>
    <mergeCell ref="A20:B20"/>
    <mergeCell ref="C20:D20"/>
    <mergeCell ref="E20:F20"/>
    <mergeCell ref="L20:M20"/>
    <mergeCell ref="N20:O20"/>
    <mergeCell ref="L18:M18"/>
    <mergeCell ref="N18:O18"/>
    <mergeCell ref="E18:F18"/>
    <mergeCell ref="J34:L35"/>
    <mergeCell ref="A32:P32"/>
    <mergeCell ref="A30:P30"/>
    <mergeCell ref="A28:B28"/>
    <mergeCell ref="C28:D28"/>
    <mergeCell ref="E28:F28"/>
    <mergeCell ref="L28:M28"/>
    <mergeCell ref="N28:O28"/>
    <mergeCell ref="A25:B25"/>
    <mergeCell ref="C25:D25"/>
    <mergeCell ref="E25:F25"/>
    <mergeCell ref="L25:M25"/>
    <mergeCell ref="N25:O25"/>
    <mergeCell ref="N27:O27"/>
    <mergeCell ref="A26:B26"/>
    <mergeCell ref="C26:D26"/>
    <mergeCell ref="E26:F26"/>
    <mergeCell ref="L26:M26"/>
    <mergeCell ref="N26:O26"/>
    <mergeCell ref="A27:B27"/>
    <mergeCell ref="C27:D27"/>
    <mergeCell ref="L27:M27"/>
    <mergeCell ref="B34:D35"/>
    <mergeCell ref="B36:D36"/>
    <mergeCell ref="B37:D37"/>
    <mergeCell ref="F34:H35"/>
    <mergeCell ref="F36:H36"/>
    <mergeCell ref="F43:H43"/>
    <mergeCell ref="F39:H39"/>
    <mergeCell ref="F40:H40"/>
    <mergeCell ref="F41:H41"/>
    <mergeCell ref="F42:H42"/>
    <mergeCell ref="F37:H37"/>
    <mergeCell ref="F38:H38"/>
    <mergeCell ref="F47:H47"/>
    <mergeCell ref="E27:F27"/>
    <mergeCell ref="B44:D45"/>
    <mergeCell ref="B46:D46"/>
    <mergeCell ref="B47:D47"/>
    <mergeCell ref="F48:H48"/>
    <mergeCell ref="B39:D40"/>
    <mergeCell ref="B41:D41"/>
    <mergeCell ref="B42:D42"/>
    <mergeCell ref="F44:H44"/>
    <mergeCell ref="F45:H45"/>
    <mergeCell ref="F46:H46"/>
  </mergeCells>
  <conditionalFormatting sqref="P22:P24 P28">
    <cfRule type="expression" dxfId="10" priority="14">
      <formula>IF(P22&lt;TODAY(),TRUE())</formula>
    </cfRule>
  </conditionalFormatting>
  <conditionalFormatting sqref="P15">
    <cfRule type="expression" dxfId="9" priority="9">
      <formula>IF(P15&lt;TODAY(),TRUE())</formula>
    </cfRule>
  </conditionalFormatting>
  <conditionalFormatting sqref="P19">
    <cfRule type="expression" dxfId="8" priority="7">
      <formula>IF(P19&lt;TODAY(),TRUE())</formula>
    </cfRule>
  </conditionalFormatting>
  <conditionalFormatting sqref="P14">
    <cfRule type="expression" dxfId="7" priority="12">
      <formula>IF(P14&lt;TODAY(),TRUE())</formula>
    </cfRule>
  </conditionalFormatting>
  <conditionalFormatting sqref="P18">
    <cfRule type="expression" dxfId="6" priority="11">
      <formula>IF(P18&lt;TODAY(),TRUE())</formula>
    </cfRule>
  </conditionalFormatting>
  <conditionalFormatting sqref="P26:P27">
    <cfRule type="expression" dxfId="5" priority="6">
      <formula>IF(P26&lt;TODAY(),TRUE())</formula>
    </cfRule>
  </conditionalFormatting>
  <conditionalFormatting sqref="P25">
    <cfRule type="expression" dxfId="4" priority="5">
      <formula>IF(P25&lt;TODAY(),TRUE())</formula>
    </cfRule>
  </conditionalFormatting>
  <conditionalFormatting sqref="P16">
    <cfRule type="expression" dxfId="3" priority="4">
      <formula>IF(P16&lt;TODAY(),TRUE())</formula>
    </cfRule>
  </conditionalFormatting>
  <conditionalFormatting sqref="P17">
    <cfRule type="expression" dxfId="2" priority="3">
      <formula>IF(P17&lt;TODAY(),TRUE())</formula>
    </cfRule>
  </conditionalFormatting>
  <conditionalFormatting sqref="P20">
    <cfRule type="expression" dxfId="1" priority="2">
      <formula>IF(P20&lt;TODAY(),TRUE())</formula>
    </cfRule>
  </conditionalFormatting>
  <conditionalFormatting sqref="P21">
    <cfRule type="expression" dxfId="0" priority="1">
      <formula>IF(P21&lt;TODAY(),TRUE())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Información general</vt:lpstr>
      <vt:lpstr>Toma de datos</vt:lpstr>
      <vt:lpstr>Informe</vt:lpstr>
      <vt:lpstr>Software</vt:lpstr>
      <vt:lpstr>Corrección</vt:lpstr>
      <vt:lpstr>Incertidumbre</vt:lpstr>
      <vt:lpstr>Equipamiento y listas</vt:lpstr>
      <vt:lpstr>Informe!Área_de_impresión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MbMetrologia</cp:lastModifiedBy>
  <cp:lastPrinted>2024-07-30T14:14:27Z</cp:lastPrinted>
  <dcterms:created xsi:type="dcterms:W3CDTF">2024-01-16T13:14:14Z</dcterms:created>
  <dcterms:modified xsi:type="dcterms:W3CDTF">2024-07-30T17:52:54Z</dcterms:modified>
</cp:coreProperties>
</file>